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270" windowWidth="19770" windowHeight="11190" activeTab="0"/>
  </bookViews>
  <sheets>
    <sheet name="客先データ" sheetId="1" r:id="rId1"/>
    <sheet name="補正値の入力" sheetId="2" r:id="rId2"/>
    <sheet name="後部弦圧入力" sheetId="3" r:id="rId3"/>
    <sheet name="前部弦圧入力" sheetId="4" r:id="rId4"/>
    <sheet name="グラフ" sheetId="5" r:id="rId5"/>
    <sheet name="弦圧データ" sheetId="6" r:id="rId6"/>
  </sheets>
  <definedNames>
    <definedName name="__A1" localSheetId="3">'前部弦圧入力'!$B$3</definedName>
    <definedName name="__A1">'前部弦圧入力'!$B$3</definedName>
    <definedName name="__A2" localSheetId="3">'前部弦圧入力'!$N$3</definedName>
    <definedName name="__A2">'前部弦圧入力'!$N$3</definedName>
    <definedName name="__A3" localSheetId="3">'前部弦圧入力'!$Z$3</definedName>
    <definedName name="__A3">'前部弦圧入力'!$Z$3</definedName>
    <definedName name="__A4" localSheetId="3">'前部弦圧入力'!$AL$3</definedName>
    <definedName name="__A4">'前部弦圧入力'!$AL$3</definedName>
    <definedName name="__A5" localSheetId="3">'前部弦圧入力'!$AX$3</definedName>
    <definedName name="__A5">'前部弦圧入力'!$AX$3</definedName>
    <definedName name="__A6" localSheetId="3">'前部弦圧入力'!$BJ$3</definedName>
    <definedName name="__A6">'前部弦圧入力'!$BJ$3</definedName>
    <definedName name="__A7" localSheetId="3">'前部弦圧入力'!$BV$3</definedName>
    <definedName name="__A7">'前部弦圧入力'!$BV$3</definedName>
    <definedName name="__A8" localSheetId="3">'前部弦圧入力'!$CH$3</definedName>
    <definedName name="__A8">'前部弦圧入力'!$CH$3</definedName>
    <definedName name="__B1" localSheetId="3">'前部弦圧入力'!$C$3</definedName>
    <definedName name="__B1">'前部弦圧入力'!$C$3</definedName>
    <definedName name="__B2" localSheetId="3">'前部弦圧入力'!$O$3</definedName>
    <definedName name="__B2">'前部弦圧入力'!$O$3</definedName>
    <definedName name="__B3" localSheetId="3">'前部弦圧入力'!$AA$3</definedName>
    <definedName name="__B3">'前部弦圧入力'!$AA$3</definedName>
    <definedName name="__B4" localSheetId="3">'前部弦圧入力'!$AM$3</definedName>
    <definedName name="__B4">'前部弦圧入力'!$AM$3</definedName>
    <definedName name="__B5" localSheetId="3">'前部弦圧入力'!$AY$3</definedName>
    <definedName name="__B5">'前部弦圧入力'!$AY$3</definedName>
    <definedName name="__B6" localSheetId="3">'前部弦圧入力'!$BK$3</definedName>
    <definedName name="__B6">'前部弦圧入力'!$BK$3</definedName>
    <definedName name="__B7" localSheetId="3">'前部弦圧入力'!$BW$3</definedName>
    <definedName name="__B7">'前部弦圧入力'!$BW$3</definedName>
    <definedName name="__B8" localSheetId="3">'前部弦圧入力'!$CI$3</definedName>
    <definedName name="__B8">'前部弦圧入力'!$CI$3</definedName>
    <definedName name="__C1" localSheetId="3">'前部弦圧入力'!$E$3</definedName>
    <definedName name="__C1">'前部弦圧入力'!$E$3</definedName>
    <definedName name="__C2" localSheetId="3">'前部弦圧入力'!$Q$3</definedName>
    <definedName name="__C2">'前部弦圧入力'!$Q$3</definedName>
    <definedName name="__C3" localSheetId="3">'前部弦圧入力'!$AC$3</definedName>
    <definedName name="__C3">'前部弦圧入力'!$AC$3</definedName>
    <definedName name="__C4" localSheetId="3">'前部弦圧入力'!$AO$3</definedName>
    <definedName name="__C4">'前部弦圧入力'!$AO$3</definedName>
    <definedName name="__C5" localSheetId="3">'前部弦圧入力'!$BA$3</definedName>
    <definedName name="__C5">'前部弦圧入力'!$BA$3</definedName>
    <definedName name="__C6" localSheetId="3">'前部弦圧入力'!$BM$3</definedName>
    <definedName name="__C6">'前部弦圧入力'!$BM$3</definedName>
    <definedName name="__C7" localSheetId="3">'前部弦圧入力'!$BY$3</definedName>
    <definedName name="__C7">'前部弦圧入力'!$BY$3</definedName>
    <definedName name="__C8" localSheetId="3">'前部弦圧入力'!$CK$3</definedName>
    <definedName name="__C8">'前部弦圧入力'!$CK$3</definedName>
    <definedName name="__Cis1" localSheetId="3">'前部弦圧入力'!$F$3</definedName>
    <definedName name="__Cis1">'前部弦圧入力'!$F$3</definedName>
    <definedName name="__Cis2" localSheetId="3">'前部弦圧入力'!$R$3</definedName>
    <definedName name="__Cis2">'前部弦圧入力'!$R$3</definedName>
    <definedName name="__Cis3" localSheetId="3">'前部弦圧入力'!$AD$3</definedName>
    <definedName name="__Cis3">'前部弦圧入力'!$AD$3</definedName>
    <definedName name="__Cis4" localSheetId="3">'前部弦圧入力'!$AP$3</definedName>
    <definedName name="__Cis4">'前部弦圧入力'!$AP$3</definedName>
    <definedName name="__Cis5" localSheetId="3">'前部弦圧入力'!$BB$3</definedName>
    <definedName name="__Cis5">'前部弦圧入力'!$BB$3</definedName>
    <definedName name="__Cis6" localSheetId="3">'前部弦圧入力'!$BN$3</definedName>
    <definedName name="__Cis6">'前部弦圧入力'!$BN$3</definedName>
    <definedName name="__Cis7" localSheetId="3">'前部弦圧入力'!$BZ$3</definedName>
    <definedName name="__Cis7">'前部弦圧入力'!$BZ$3</definedName>
    <definedName name="__D1" localSheetId="3">'前部弦圧入力'!$G$3</definedName>
    <definedName name="__D1">'前部弦圧入力'!$G$3</definedName>
    <definedName name="__D2" localSheetId="3">'前部弦圧入力'!$S$3</definedName>
    <definedName name="__D2">'前部弦圧入力'!$S$3</definedName>
    <definedName name="__D3" localSheetId="3">'前部弦圧入力'!$AE$3</definedName>
    <definedName name="__D3">'前部弦圧入力'!$AE$3</definedName>
    <definedName name="__D4" localSheetId="3">'前部弦圧入力'!$AQ$3</definedName>
    <definedName name="__D4">'前部弦圧入力'!$AQ$3</definedName>
    <definedName name="__D5" localSheetId="3">'前部弦圧入力'!$BC$3</definedName>
    <definedName name="__D5">'前部弦圧入力'!$BC$3</definedName>
    <definedName name="__D6" localSheetId="3">'前部弦圧入力'!$BO$3</definedName>
    <definedName name="__D6">'前部弦圧入力'!$BO$3</definedName>
    <definedName name="__D7" localSheetId="3">'前部弦圧入力'!$CA$3</definedName>
    <definedName name="__D7">'前部弦圧入力'!$CA$3</definedName>
    <definedName name="__E1" localSheetId="3">'前部弦圧入力'!$I$3</definedName>
    <definedName name="__E1">'前部弦圧入力'!$I$3</definedName>
    <definedName name="__E2" localSheetId="3">'前部弦圧入力'!$U$3</definedName>
    <definedName name="__E2">'前部弦圧入力'!$U$3</definedName>
    <definedName name="__E3" localSheetId="3">'前部弦圧入力'!$AG$3</definedName>
    <definedName name="__E3">'前部弦圧入力'!$AG$3</definedName>
    <definedName name="__E4" localSheetId="3">'前部弦圧入力'!$AS$3</definedName>
    <definedName name="__E4">'前部弦圧入力'!$AS$3</definedName>
    <definedName name="__E5" localSheetId="3">'前部弦圧入力'!$BE$3</definedName>
    <definedName name="__E5">'前部弦圧入力'!$BE$3</definedName>
    <definedName name="__E6" localSheetId="3">'前部弦圧入力'!$BQ$3</definedName>
    <definedName name="__E6">'前部弦圧入力'!$BQ$3</definedName>
    <definedName name="__E7" localSheetId="3">'前部弦圧入力'!$CC$3</definedName>
    <definedName name="__E7">'前部弦圧入力'!$CC$3</definedName>
    <definedName name="__Es1" localSheetId="3">'前部弦圧入力'!$H$3</definedName>
    <definedName name="__Es1">'前部弦圧入力'!$H$3</definedName>
    <definedName name="__Es2" localSheetId="3">'前部弦圧入力'!$T$3</definedName>
    <definedName name="__Es2">'前部弦圧入力'!$T$3</definedName>
    <definedName name="__Es3" localSheetId="3">'前部弦圧入力'!$AF$3</definedName>
    <definedName name="__Es3">'前部弦圧入力'!$AF$3</definedName>
    <definedName name="__Es4" localSheetId="3">'前部弦圧入力'!$AR$3</definedName>
    <definedName name="__Es4">'前部弦圧入力'!$AR$3</definedName>
    <definedName name="__Es5" localSheetId="3">'前部弦圧入力'!$BD$3</definedName>
    <definedName name="__Es5">'前部弦圧入力'!$BD$3</definedName>
    <definedName name="__Es6" localSheetId="3">'前部弦圧入力'!$BP$3</definedName>
    <definedName name="__Es6">'前部弦圧入力'!$BP$3</definedName>
    <definedName name="__Es7" localSheetId="3">'前部弦圧入力'!$CB$3</definedName>
    <definedName name="__Es7">'前部弦圧入力'!$CB$3</definedName>
    <definedName name="__F1" localSheetId="3">'前部弦圧入力'!$J$3</definedName>
    <definedName name="__F1">'前部弦圧入力'!$J$3</definedName>
    <definedName name="__F2" localSheetId="3">'前部弦圧入力'!$V$3</definedName>
    <definedName name="__F2">'前部弦圧入力'!$V$3</definedName>
    <definedName name="__F3" localSheetId="3">'前部弦圧入力'!$AH$3</definedName>
    <definedName name="__F3">'前部弦圧入力'!$AH$3</definedName>
    <definedName name="__F4" localSheetId="3">'前部弦圧入力'!$AT$3</definedName>
    <definedName name="__F4">'前部弦圧入力'!$AT$3</definedName>
    <definedName name="__F5" localSheetId="3">'前部弦圧入力'!$BF$3</definedName>
    <definedName name="__F5">'前部弦圧入力'!$BF$3</definedName>
    <definedName name="__F6" localSheetId="3">'前部弦圧入力'!$BR$3</definedName>
    <definedName name="__F6">'前部弦圧入力'!$BR$3</definedName>
    <definedName name="__F7" localSheetId="3">'前部弦圧入力'!$CD$3</definedName>
    <definedName name="__F7">'前部弦圧入力'!$CD$3</definedName>
    <definedName name="__Fis1" localSheetId="3">'前部弦圧入力'!$K$3</definedName>
    <definedName name="__Fis1">'前部弦圧入力'!$K$3</definedName>
    <definedName name="__Fis2" localSheetId="3">'前部弦圧入力'!$W$3</definedName>
    <definedName name="__Fis2">'前部弦圧入力'!$W$3</definedName>
    <definedName name="__Fis3" localSheetId="3">'前部弦圧入力'!$AI$3</definedName>
    <definedName name="__Fis3">'前部弦圧入力'!$AI$3</definedName>
    <definedName name="__Fis4" localSheetId="3">'前部弦圧入力'!$AU$3</definedName>
    <definedName name="__Fis4">'前部弦圧入力'!$AU$3</definedName>
    <definedName name="__Fis5" localSheetId="3">'前部弦圧入力'!$BG$3</definedName>
    <definedName name="__Fis5">'前部弦圧入力'!$BG$3</definedName>
    <definedName name="__Fis6" localSheetId="3">'前部弦圧入力'!$BS$3</definedName>
    <definedName name="__Fis6">'前部弦圧入力'!$BS$3</definedName>
    <definedName name="__Fis7" localSheetId="3">'前部弦圧入力'!$CE$3</definedName>
    <definedName name="__Fis7">'前部弦圧入力'!$CE$3</definedName>
    <definedName name="__G1" localSheetId="3">'前部弦圧入力'!$L$3</definedName>
    <definedName name="__G1">'前部弦圧入力'!$L$3</definedName>
    <definedName name="__G2" localSheetId="3">'前部弦圧入力'!$X$3</definedName>
    <definedName name="__G2">'前部弦圧入力'!$X$3</definedName>
    <definedName name="__G3" localSheetId="3">'前部弦圧入力'!$AJ$3</definedName>
    <definedName name="__G3">'前部弦圧入力'!$AJ$3</definedName>
    <definedName name="__G4" localSheetId="3">'前部弦圧入力'!$AV$3</definedName>
    <definedName name="__G4">'前部弦圧入力'!$AV$3</definedName>
    <definedName name="__G5" localSheetId="3">'前部弦圧入力'!$BH$3</definedName>
    <definedName name="__G5">'前部弦圧入力'!$BH$3</definedName>
    <definedName name="__G6" localSheetId="3">'前部弦圧入力'!$BT$3</definedName>
    <definedName name="__G6">'前部弦圧入力'!$BT$3</definedName>
    <definedName name="__G7" localSheetId="3">'前部弦圧入力'!$CF$3</definedName>
    <definedName name="__G7">'前部弦圧入力'!$CF$3</definedName>
    <definedName name="__Gis1" localSheetId="3">'前部弦圧入力'!$M$3</definedName>
    <definedName name="__Gis1">'前部弦圧入力'!$M$3</definedName>
    <definedName name="__Gis2" localSheetId="3">'前部弦圧入力'!$Y$3</definedName>
    <definedName name="__Gis2">'前部弦圧入力'!$Y$3</definedName>
    <definedName name="__Gis3" localSheetId="3">'前部弦圧入力'!$AK$3</definedName>
    <definedName name="__Gis3">'前部弦圧入力'!$AK$3</definedName>
    <definedName name="__Gis4" localSheetId="3">'前部弦圧入力'!$AW$3</definedName>
    <definedName name="__Gis4">'前部弦圧入力'!$AW$3</definedName>
    <definedName name="__Gis5" localSheetId="3">'前部弦圧入力'!$BI$3</definedName>
    <definedName name="__Gis5">'前部弦圧入力'!$BI$3</definedName>
    <definedName name="__Gis6" localSheetId="3">'前部弦圧入力'!$BU$3</definedName>
    <definedName name="__Gis6">'前部弦圧入力'!$BU$3</definedName>
    <definedName name="__Gis7" localSheetId="3">'前部弦圧入力'!$CG$3</definedName>
    <definedName name="__Gis7">'前部弦圧入力'!$CG$3</definedName>
    <definedName name="__H1" localSheetId="3">'前部弦圧入力'!$D$3</definedName>
    <definedName name="__H1">'前部弦圧入力'!$D$3</definedName>
    <definedName name="__H2" localSheetId="3">'前部弦圧入力'!$P$3</definedName>
    <definedName name="__H2">'前部弦圧入力'!$P$3</definedName>
    <definedName name="__H3" localSheetId="3">'前部弦圧入力'!$AB$3</definedName>
    <definedName name="__H3">'前部弦圧入力'!$AB$3</definedName>
    <definedName name="__H4" localSheetId="3">'前部弦圧入力'!$AN$3</definedName>
    <definedName name="__H4">'前部弦圧入力'!$AN$3</definedName>
    <definedName name="__H5" localSheetId="3">'前部弦圧入力'!$AZ$3</definedName>
    <definedName name="__H5">'前部弦圧入力'!$AZ$3</definedName>
    <definedName name="__H6" localSheetId="3">'前部弦圧入力'!$BL$3</definedName>
    <definedName name="__H6">'前部弦圧入力'!$BL$3</definedName>
    <definedName name="__H7" localSheetId="3">'前部弦圧入力'!$BX$3</definedName>
    <definedName name="__H7">'前部弦圧入力'!$BX$3</definedName>
    <definedName name="__H8" localSheetId="3">'前部弦圧入力'!$CJ$3</definedName>
    <definedName name="__H8">'前部弦圧入力'!$CJ$3</definedName>
    <definedName name="_A1">'後部弦圧入力'!$B$3</definedName>
    <definedName name="_A2">'後部弦圧入力'!$N$3</definedName>
    <definedName name="_A3">'後部弦圧入力'!$Z$3</definedName>
    <definedName name="_A4">'後部弦圧入力'!$AL$3</definedName>
    <definedName name="_A5">'後部弦圧入力'!$AX$3</definedName>
    <definedName name="_A6">'後部弦圧入力'!$BJ$3</definedName>
    <definedName name="_A7">'後部弦圧入力'!$BV$3</definedName>
    <definedName name="_A8">'後部弦圧入力'!$CH$3</definedName>
    <definedName name="_B1">'後部弦圧入力'!$C$3</definedName>
    <definedName name="_B2">'後部弦圧入力'!$O$3</definedName>
    <definedName name="_B3">'後部弦圧入力'!$AA$3</definedName>
    <definedName name="_B4">'後部弦圧入力'!$AM$3</definedName>
    <definedName name="_B5">'後部弦圧入力'!$AY$3</definedName>
    <definedName name="_B6">'後部弦圧入力'!$BK$3</definedName>
    <definedName name="_B7">'後部弦圧入力'!$BW$3</definedName>
    <definedName name="_B8">'後部弦圧入力'!$CI$3</definedName>
    <definedName name="_C1">'後部弦圧入力'!$E$3</definedName>
    <definedName name="_C2">'後部弦圧入力'!$Q$3</definedName>
    <definedName name="_C3">'後部弦圧入力'!$AC$3</definedName>
    <definedName name="_C4">'後部弦圧入力'!$AO$3</definedName>
    <definedName name="_C5">'後部弦圧入力'!$BA$3</definedName>
    <definedName name="_C6">'後部弦圧入力'!$BM$3</definedName>
    <definedName name="_C7">'後部弦圧入力'!$BY$3</definedName>
    <definedName name="_C8">'後部弦圧入力'!$CK$3</definedName>
    <definedName name="_Cis1">'後部弦圧入力'!$F$3</definedName>
    <definedName name="_Cis2">'後部弦圧入力'!$R$3</definedName>
    <definedName name="_Cis3">'後部弦圧入力'!$AD$3</definedName>
    <definedName name="_Cis4">'後部弦圧入力'!$AP$3</definedName>
    <definedName name="_Cis5">'後部弦圧入力'!$BB$3</definedName>
    <definedName name="_Cis6">'後部弦圧入力'!$BN$3</definedName>
    <definedName name="_Cis7" localSheetId="3">'後部弦圧入力'!#REF!</definedName>
    <definedName name="_Cis7">'後部弦圧入力'!$BZ$3</definedName>
    <definedName name="_D1">'後部弦圧入力'!$G$3</definedName>
    <definedName name="_D2">'後部弦圧入力'!$S$3</definedName>
    <definedName name="_D3">'後部弦圧入力'!$AE$3</definedName>
    <definedName name="_D4">'後部弦圧入力'!$AQ$3</definedName>
    <definedName name="_D5">'後部弦圧入力'!$BC$3</definedName>
    <definedName name="_D6">'後部弦圧入力'!$BO$3</definedName>
    <definedName name="_D7">'後部弦圧入力'!$CA$3</definedName>
    <definedName name="_E1">'後部弦圧入力'!$I$3</definedName>
    <definedName name="_E2">'後部弦圧入力'!$U$3</definedName>
    <definedName name="_E3">'後部弦圧入力'!$AG$3</definedName>
    <definedName name="_E4">'後部弦圧入力'!$AS$3</definedName>
    <definedName name="_E5">'後部弦圧入力'!$BE$3</definedName>
    <definedName name="_E6">'後部弦圧入力'!$BQ$3</definedName>
    <definedName name="_E7">'後部弦圧入力'!$CC$3</definedName>
    <definedName name="_Es1">'後部弦圧入力'!$H$3</definedName>
    <definedName name="_Es2">'後部弦圧入力'!$T$3</definedName>
    <definedName name="_Es3">'後部弦圧入力'!$AF$3</definedName>
    <definedName name="_Es4">'後部弦圧入力'!$AR$3</definedName>
    <definedName name="_Es5">'後部弦圧入力'!$BD$3</definedName>
    <definedName name="_Es6">'後部弦圧入力'!$BP$3</definedName>
    <definedName name="_Es7">'後部弦圧入力'!$CB$3</definedName>
    <definedName name="_F1">'後部弦圧入力'!$J$3</definedName>
    <definedName name="_F2">'後部弦圧入力'!$V$3</definedName>
    <definedName name="_F3">'後部弦圧入力'!$AH$3</definedName>
    <definedName name="_F4">'後部弦圧入力'!$AT$3</definedName>
    <definedName name="_F5">'後部弦圧入力'!$BF$3</definedName>
    <definedName name="_F6">'後部弦圧入力'!$BR$3</definedName>
    <definedName name="_F7">'後部弦圧入力'!$CD$3</definedName>
    <definedName name="_Fis1">'後部弦圧入力'!$K$3</definedName>
    <definedName name="_Fis2">'後部弦圧入力'!$W$3</definedName>
    <definedName name="_Fis3">'後部弦圧入力'!$AI$3</definedName>
    <definedName name="_Fis4">'後部弦圧入力'!$AU$3</definedName>
    <definedName name="_Fis5">'後部弦圧入力'!$BG$3</definedName>
    <definedName name="_Fis6" localSheetId="3">'前部弦圧入力'!#REF!</definedName>
    <definedName name="_Fis6">'後部弦圧入力'!$BS$3</definedName>
    <definedName name="_Fis7">'後部弦圧入力'!$CE$3</definedName>
    <definedName name="_G1">'後部弦圧入力'!$L$3</definedName>
    <definedName name="_G2">'後部弦圧入力'!$X$3</definedName>
    <definedName name="_G3">'後部弦圧入力'!$AJ$3</definedName>
    <definedName name="_G4">'後部弦圧入力'!$AV$3</definedName>
    <definedName name="_G5">'後部弦圧入力'!$BH$3</definedName>
    <definedName name="_G6">'後部弦圧入力'!$BT$3</definedName>
    <definedName name="_G7">'後部弦圧入力'!$CF$3</definedName>
    <definedName name="_Gis1">'後部弦圧入力'!$M$3</definedName>
    <definedName name="_Gis2">'後部弦圧入力'!$Y$3</definedName>
    <definedName name="_Gis3">'後部弦圧入力'!$AK$3</definedName>
    <definedName name="_Gis4">'後部弦圧入力'!$AW$3</definedName>
    <definedName name="_Gis5">'後部弦圧入力'!$BI$3</definedName>
    <definedName name="_Gis6">'後部弦圧入力'!$BU$3</definedName>
    <definedName name="_Gis7">'後部弦圧入力'!$CG$3</definedName>
    <definedName name="_H1">'後部弦圧入力'!$D$3</definedName>
    <definedName name="_H2">'後部弦圧入力'!$P$3</definedName>
    <definedName name="_H3">'後部弦圧入力'!$AB$3</definedName>
    <definedName name="_H4">'後部弦圧入力'!$AN$3</definedName>
    <definedName name="_H5" localSheetId="3">'前部弦圧入力'!#REF!</definedName>
    <definedName name="_H5">'後部弦圧入力'!$AZ$3</definedName>
    <definedName name="_H6">'後部弦圧入力'!$BL$3</definedName>
    <definedName name="_H7">'後部弦圧入力'!$BX$3</definedName>
    <definedName name="_H8">'後部弦圧入力'!$CJ$3</definedName>
    <definedName name="TEMP">'補正値の入力'!$D$4</definedName>
    <definedName name="オフセットX1">'補正値の入力'!$B$1</definedName>
    <definedName name="オフセットX2">'補正値の入力'!$B$2</definedName>
    <definedName name="オフセットYL">'補正値の入力'!$B$4</definedName>
    <definedName name="オフセットYU">'補正値の入力'!$B$3</definedName>
    <definedName name="温度補正">'補正値の入力'!#REF!</definedName>
    <definedName name="補正値X">'補正値の入力'!$D$1</definedName>
    <definedName name="補正値YL">'補正値の入力'!$D$3</definedName>
    <definedName name="補正値YU">'補正値の入力'!$D$2</definedName>
  </definedNames>
  <calcPr fullCalcOnLoad="1"/>
</workbook>
</file>

<file path=xl/sharedStrings.xml><?xml version="1.0" encoding="utf-8"?>
<sst xmlns="http://schemas.openxmlformats.org/spreadsheetml/2006/main" count="319" uniqueCount="135">
  <si>
    <t>Data</t>
  </si>
  <si>
    <t>Ｍｏｄｅｌ</t>
  </si>
  <si>
    <t xml:space="preserve">SteinWay B  </t>
  </si>
  <si>
    <t>Ser NO.</t>
  </si>
  <si>
    <t>Ｎａｍｅ</t>
  </si>
  <si>
    <t>オリエンタルアールアンドデー株式会社</t>
  </si>
  <si>
    <t>Ａｄｒｅｓｓ</t>
  </si>
  <si>
    <t>神奈川県大和市下鶴間 2-11-29 601</t>
  </si>
  <si>
    <t>MEMO</t>
  </si>
  <si>
    <t xml:space="preserve"> </t>
  </si>
  <si>
    <t>OFFSET_X1</t>
  </si>
  <si>
    <t>GAIN_X</t>
  </si>
  <si>
    <t>OFFSET_X2</t>
  </si>
  <si>
    <t>GAIN_YU</t>
  </si>
  <si>
    <t>OFFSET_YU</t>
  </si>
  <si>
    <t>GAIN_YL</t>
  </si>
  <si>
    <t>OFFSET_YL</t>
  </si>
  <si>
    <t>GAIN_T</t>
  </si>
  <si>
    <t>鍵盤音名</t>
  </si>
  <si>
    <t>A1</t>
  </si>
  <si>
    <t>B1</t>
  </si>
  <si>
    <t>H1</t>
  </si>
  <si>
    <t>C1</t>
  </si>
  <si>
    <t>Cis1</t>
  </si>
  <si>
    <t>D1</t>
  </si>
  <si>
    <t>Es1</t>
  </si>
  <si>
    <t>E1</t>
  </si>
  <si>
    <t>F1</t>
  </si>
  <si>
    <t>Fis1</t>
  </si>
  <si>
    <t>G1</t>
  </si>
  <si>
    <t>Gis1</t>
  </si>
  <si>
    <t>A2</t>
  </si>
  <si>
    <t>B2</t>
  </si>
  <si>
    <t>H2</t>
  </si>
  <si>
    <t>C2</t>
  </si>
  <si>
    <t>Cis2</t>
  </si>
  <si>
    <t>D2</t>
  </si>
  <si>
    <t>Es2</t>
  </si>
  <si>
    <t>E2</t>
  </si>
  <si>
    <t>F2</t>
  </si>
  <si>
    <t>Fis2</t>
  </si>
  <si>
    <t>G2</t>
  </si>
  <si>
    <t>Gis2</t>
  </si>
  <si>
    <t>A3</t>
  </si>
  <si>
    <t>B3</t>
  </si>
  <si>
    <t>H3</t>
  </si>
  <si>
    <t>C3</t>
  </si>
  <si>
    <t>Cis3</t>
  </si>
  <si>
    <t>D3</t>
  </si>
  <si>
    <t>Es3</t>
  </si>
  <si>
    <t>E3</t>
  </si>
  <si>
    <t>F3</t>
  </si>
  <si>
    <t>Fis3</t>
  </si>
  <si>
    <t>G3</t>
  </si>
  <si>
    <t>Gis3</t>
  </si>
  <si>
    <t>A4</t>
  </si>
  <si>
    <t>B4</t>
  </si>
  <si>
    <t>H4</t>
  </si>
  <si>
    <t>C4</t>
  </si>
  <si>
    <t>Cis4</t>
  </si>
  <si>
    <t>D4</t>
  </si>
  <si>
    <t>Es4</t>
  </si>
  <si>
    <t>E4</t>
  </si>
  <si>
    <t>F4</t>
  </si>
  <si>
    <t>Fis4</t>
  </si>
  <si>
    <t>G4</t>
  </si>
  <si>
    <t>Gis4</t>
  </si>
  <si>
    <t>A5</t>
  </si>
  <si>
    <t>B5</t>
  </si>
  <si>
    <t>H5</t>
  </si>
  <si>
    <t>C5</t>
  </si>
  <si>
    <t>Cis5</t>
  </si>
  <si>
    <t>D5</t>
  </si>
  <si>
    <t>Es5</t>
  </si>
  <si>
    <t>E5</t>
  </si>
  <si>
    <t>F5</t>
  </si>
  <si>
    <t>Fis5</t>
  </si>
  <si>
    <t>G5</t>
  </si>
  <si>
    <t>Gis5</t>
  </si>
  <si>
    <t>A6</t>
  </si>
  <si>
    <t>B6</t>
  </si>
  <si>
    <t>H6</t>
  </si>
  <si>
    <t>C6</t>
  </si>
  <si>
    <t>Cis6</t>
  </si>
  <si>
    <t>D6</t>
  </si>
  <si>
    <t>Es6</t>
  </si>
  <si>
    <t>E6</t>
  </si>
  <si>
    <t>F6</t>
  </si>
  <si>
    <t>Fis6</t>
  </si>
  <si>
    <t>G6</t>
  </si>
  <si>
    <t>Gis6</t>
  </si>
  <si>
    <t>A7</t>
  </si>
  <si>
    <t>B7</t>
  </si>
  <si>
    <t>H7</t>
  </si>
  <si>
    <t>C7</t>
  </si>
  <si>
    <t>Cis7</t>
  </si>
  <si>
    <t>D7</t>
  </si>
  <si>
    <t>Es7</t>
  </si>
  <si>
    <t>E7</t>
  </si>
  <si>
    <t>F7</t>
  </si>
  <si>
    <t>Fis7</t>
  </si>
  <si>
    <t>G7</t>
  </si>
  <si>
    <t>Gis7</t>
  </si>
  <si>
    <t>A8</t>
  </si>
  <si>
    <t>B8</t>
  </si>
  <si>
    <t>H8</t>
  </si>
  <si>
    <t>C8</t>
  </si>
  <si>
    <t>入力データ１</t>
  </si>
  <si>
    <t>入力データ２</t>
  </si>
  <si>
    <t>入力データ３</t>
  </si>
  <si>
    <t>後部弦圧(kg)</t>
  </si>
  <si>
    <t>前部弦圧(kg)</t>
  </si>
  <si>
    <t>鍵盤NO.</t>
  </si>
  <si>
    <t>弦張力 (kg)</t>
  </si>
  <si>
    <t>後部弦圧</t>
  </si>
  <si>
    <t>前部弦圧 (kg)</t>
  </si>
  <si>
    <t>測定弦圧 (kg)</t>
  </si>
  <si>
    <t>標準弦圧 (kg)</t>
  </si>
  <si>
    <t>MIN (kg)</t>
  </si>
  <si>
    <t>MAX (kg)</t>
  </si>
  <si>
    <t>要弦圧調整値 (kg)</t>
  </si>
  <si>
    <t>要調整枕高(mm)</t>
  </si>
  <si>
    <t>実行調整高(mm)</t>
  </si>
  <si>
    <t>完成弦圧 (kg)</t>
  </si>
  <si>
    <t>鍵盤NO.</t>
  </si>
  <si>
    <t>後部角度（°）</t>
  </si>
  <si>
    <t>前部角度（°）</t>
  </si>
  <si>
    <t>後部弦圧入力値</t>
  </si>
  <si>
    <t xml:space="preserve">前部弦圧入力値 </t>
  </si>
  <si>
    <t>標準弦圧値の入力</t>
  </si>
  <si>
    <t>Kg</t>
  </si>
  <si>
    <t>アリコート弦長(mm)</t>
  </si>
  <si>
    <t>スピーキング弦長(mm)</t>
  </si>
  <si>
    <t>駒～弦枕長(mm)</t>
  </si>
  <si>
    <t>アリコート係数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</si>
</sst>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 ;[Red]&quot;-&quot;0.00&quot; &quot;"/>
    <numFmt numFmtId="181" formatCode="0.0000_ "/>
    <numFmt numFmtId="182" formatCode="0.000_ "/>
    <numFmt numFmtId="183" formatCode="0.00;_萀"/>
    <numFmt numFmtId="184" formatCode="0.0_ ;[Red]&quot;-&quot;0.0&quot; &quot;"/>
    <numFmt numFmtId="185" formatCode="0_ ;[Red]&quot;-&quot;0&quot; &quot;"/>
    <numFmt numFmtId="186" formatCode="0.00_);[Red]&quot;(&quot;0.00&quot;)&quot;"/>
    <numFmt numFmtId="187" formatCode="0.00_ "/>
    <numFmt numFmtId="188" formatCode="0_ "/>
    <numFmt numFmtId="189" formatCode="0.00;[Red]0.00"/>
    <numFmt numFmtId="190" formatCode="0.00_ ;[Red]\-0.00\ "/>
    <numFmt numFmtId="191" formatCode="0.0_ "/>
    <numFmt numFmtId="192" formatCode="0.00_);[Red]\(0.00\)"/>
    <numFmt numFmtId="193" formatCode="0_ ;[Red]\-0\ "/>
    <numFmt numFmtId="194" formatCode="0.0_ ;[Red]\-0.0\ "/>
  </numFmts>
  <fonts count="15">
    <font>
      <sz val="10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sz val="9"/>
      <color indexed="9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23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color indexed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80" fontId="6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80" fontId="6" fillId="0" borderId="0" xfId="0" applyNumberFormat="1" applyFont="1" applyAlignment="1" applyProtection="1">
      <alignment/>
      <protection locked="0"/>
    </xf>
    <xf numFmtId="181" fontId="7" fillId="2" borderId="1" xfId="0" applyNumberFormat="1" applyFont="1" applyFill="1" applyBorder="1" applyAlignment="1" applyProtection="1">
      <alignment horizontal="center" vertical="center"/>
      <protection locked="0"/>
    </xf>
    <xf numFmtId="18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84" fontId="6" fillId="0" borderId="1" xfId="0" applyNumberFormat="1" applyFont="1" applyBorder="1" applyAlignment="1">
      <alignment horizontal="center" vertical="center"/>
    </xf>
    <xf numFmtId="184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14" fontId="4" fillId="0" borderId="2" xfId="0" applyNumberFormat="1" applyFont="1" applyBorder="1" applyAlignment="1" applyProtection="1">
      <alignment horizontal="left" vertical="center"/>
      <protection locked="0"/>
    </xf>
    <xf numFmtId="14" fontId="4" fillId="0" borderId="3" xfId="0" applyNumberFormat="1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186" fontId="4" fillId="0" borderId="1" xfId="0" applyNumberFormat="1" applyFont="1" applyBorder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18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187" fontId="4" fillId="0" borderId="1" xfId="0" applyNumberFormat="1" applyFont="1" applyBorder="1" applyAlignment="1" applyProtection="1">
      <alignment horizontal="right"/>
      <protection locked="0"/>
    </xf>
    <xf numFmtId="187" fontId="4" fillId="0" borderId="1" xfId="0" applyNumberFormat="1" applyFont="1" applyBorder="1" applyAlignment="1" applyProtection="1">
      <alignment horizontal="center" vertical="center"/>
      <protection locked="0"/>
    </xf>
    <xf numFmtId="187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87" fontId="4" fillId="0" borderId="1" xfId="0" applyNumberFormat="1" applyFont="1" applyBorder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188" fontId="4" fillId="0" borderId="8" xfId="0" applyNumberFormat="1" applyFont="1" applyBorder="1" applyAlignment="1">
      <alignment horizontal="center" vertical="center"/>
    </xf>
    <xf numFmtId="188" fontId="4" fillId="0" borderId="9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6" fontId="4" fillId="0" borderId="11" xfId="0" applyNumberFormat="1" applyFont="1" applyBorder="1" applyAlignment="1">
      <alignment horizontal="center" vertical="center" wrapText="1"/>
    </xf>
    <xf numFmtId="186" fontId="4" fillId="0" borderId="12" xfId="0" applyNumberFormat="1" applyFont="1" applyBorder="1" applyAlignment="1">
      <alignment horizontal="center" vertical="center"/>
    </xf>
    <xf numFmtId="186" fontId="9" fillId="0" borderId="11" xfId="0" applyNumberFormat="1" applyFont="1" applyBorder="1" applyAlignment="1">
      <alignment horizontal="center" vertical="center" wrapText="1"/>
    </xf>
    <xf numFmtId="187" fontId="4" fillId="0" borderId="12" xfId="0" applyNumberFormat="1" applyFont="1" applyBorder="1" applyAlignment="1" applyProtection="1">
      <alignment horizontal="center" vertical="center"/>
      <protection locked="0"/>
    </xf>
    <xf numFmtId="187" fontId="4" fillId="0" borderId="12" xfId="0" applyNumberFormat="1" applyFont="1" applyBorder="1" applyAlignment="1" applyProtection="1">
      <alignment horizontal="right"/>
      <protection locked="0"/>
    </xf>
    <xf numFmtId="190" fontId="8" fillId="4" borderId="9" xfId="0" applyNumberFormat="1" applyFont="1" applyFill="1" applyBorder="1" applyAlignment="1" applyProtection="1">
      <alignment horizontal="center" vertical="center" wrapText="1"/>
      <protection/>
    </xf>
    <xf numFmtId="190" fontId="8" fillId="5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/>
    </xf>
    <xf numFmtId="0" fontId="14" fillId="0" borderId="0" xfId="0" applyFont="1" applyFill="1" applyAlignment="1" applyProtection="1">
      <alignment horizontal="center" vertical="center"/>
      <protection/>
    </xf>
    <xf numFmtId="188" fontId="8" fillId="2" borderId="9" xfId="0" applyNumberFormat="1" applyFont="1" applyFill="1" applyBorder="1" applyAlignment="1" applyProtection="1">
      <alignment horizontal="center" vertical="center" wrapText="1"/>
      <protection/>
    </xf>
    <xf numFmtId="193" fontId="8" fillId="2" borderId="9" xfId="0" applyNumberFormat="1" applyFont="1" applyFill="1" applyBorder="1" applyAlignment="1" applyProtection="1">
      <alignment horizontal="center" vertical="center" wrapText="1"/>
      <protection/>
    </xf>
    <xf numFmtId="13" fontId="8" fillId="2" borderId="9" xfId="0" applyNumberFormat="1" applyFont="1" applyFill="1" applyBorder="1" applyAlignment="1" applyProtection="1">
      <alignment horizontal="center" vertical="center" wrapText="1"/>
      <protection/>
    </xf>
    <xf numFmtId="194" fontId="13" fillId="0" borderId="9" xfId="0" applyNumberFormat="1" applyFont="1" applyFill="1" applyBorder="1" applyAlignment="1" applyProtection="1">
      <alignment horizontal="center" vertical="center" wrapText="1"/>
      <protection/>
    </xf>
    <xf numFmtId="188" fontId="8" fillId="2" borderId="1" xfId="0" applyNumberFormat="1" applyFont="1" applyFill="1" applyBorder="1" applyAlignment="1" applyProtection="1">
      <alignment horizontal="center" vertical="center"/>
      <protection locked="0"/>
    </xf>
    <xf numFmtId="193" fontId="8" fillId="2" borderId="1" xfId="0" applyNumberFormat="1" applyFont="1" applyFill="1" applyBorder="1" applyAlignment="1" applyProtection="1">
      <alignment horizontal="center" vertical="center"/>
      <protection locked="0"/>
    </xf>
    <xf numFmtId="13" fontId="8" fillId="2" borderId="1" xfId="0" applyNumberFormat="1" applyFont="1" applyFill="1" applyBorder="1" applyAlignment="1" applyProtection="1">
      <alignment horizontal="center" vertical="center"/>
      <protection locked="0"/>
    </xf>
    <xf numFmtId="188" fontId="8" fillId="2" borderId="13" xfId="0" applyNumberFormat="1" applyFont="1" applyFill="1" applyBorder="1" applyAlignment="1" applyProtection="1">
      <alignment horizontal="center" vertical="center"/>
      <protection locked="0"/>
    </xf>
    <xf numFmtId="193" fontId="8" fillId="2" borderId="13" xfId="0" applyNumberFormat="1" applyFont="1" applyFill="1" applyBorder="1" applyAlignment="1" applyProtection="1">
      <alignment horizontal="center" vertical="center"/>
      <protection locked="0"/>
    </xf>
    <xf numFmtId="13" fontId="8" fillId="2" borderId="13" xfId="0" applyNumberFormat="1" applyFont="1" applyFill="1" applyBorder="1" applyAlignment="1" applyProtection="1">
      <alignment horizontal="center" vertical="center"/>
      <protection locked="0"/>
    </xf>
    <xf numFmtId="185" fontId="6" fillId="0" borderId="1" xfId="0" applyNumberFormat="1" applyFont="1" applyFill="1" applyBorder="1" applyAlignment="1" applyProtection="1">
      <alignment horizontal="center" vertical="center"/>
      <protection locked="0"/>
    </xf>
    <xf numFmtId="182" fontId="13" fillId="0" borderId="1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180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13" xfId="0" applyNumberFormat="1" applyFont="1" applyBorder="1" applyAlignment="1">
      <alignment horizontal="center" vertical="center"/>
    </xf>
    <xf numFmtId="185" fontId="6" fillId="0" borderId="13" xfId="0" applyNumberFormat="1" applyFont="1" applyFill="1" applyBorder="1" applyAlignment="1" applyProtection="1">
      <alignment horizontal="center" vertical="center"/>
      <protection locked="0"/>
    </xf>
    <xf numFmtId="184" fontId="6" fillId="0" borderId="13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vertical="center"/>
    </xf>
    <xf numFmtId="181" fontId="7" fillId="2" borderId="9" xfId="0" applyNumberFormat="1" applyFont="1" applyFill="1" applyBorder="1" applyAlignment="1" applyProtection="1">
      <alignment horizontal="center" vertical="center"/>
      <protection locked="0"/>
    </xf>
    <xf numFmtId="181" fontId="7" fillId="2" borderId="10" xfId="0" applyNumberFormat="1" applyFont="1" applyFill="1" applyBorder="1" applyAlignment="1" applyProtection="1">
      <alignment horizontal="center" vertical="center"/>
      <protection locked="0"/>
    </xf>
    <xf numFmtId="181" fontId="7" fillId="2" borderId="12" xfId="0" applyNumberFormat="1" applyFont="1" applyFill="1" applyBorder="1" applyAlignment="1" applyProtection="1">
      <alignment horizontal="center" vertical="center"/>
      <protection locked="0"/>
    </xf>
    <xf numFmtId="181" fontId="7" fillId="2" borderId="13" xfId="0" applyNumberFormat="1" applyFont="1" applyFill="1" applyBorder="1" applyAlignment="1" applyProtection="1">
      <alignment horizontal="center" vertical="center"/>
      <protection locked="0"/>
    </xf>
    <xf numFmtId="181" fontId="7" fillId="2" borderId="15" xfId="0" applyNumberFormat="1" applyFont="1" applyFill="1" applyBorder="1" applyAlignment="1" applyProtection="1">
      <alignment horizontal="center" vertical="center"/>
      <protection locked="0"/>
    </xf>
    <xf numFmtId="191" fontId="14" fillId="2" borderId="16" xfId="0" applyNumberFormat="1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/>
    </xf>
    <xf numFmtId="182" fontId="8" fillId="4" borderId="9" xfId="0" applyNumberFormat="1" applyFont="1" applyFill="1" applyBorder="1" applyAlignment="1" applyProtection="1">
      <alignment horizontal="center" vertical="center" wrapText="1"/>
      <protection/>
    </xf>
    <xf numFmtId="182" fontId="8" fillId="5" borderId="9" xfId="0" applyNumberFormat="1" applyFont="1" applyFill="1" applyBorder="1" applyAlignment="1" applyProtection="1">
      <alignment horizontal="center" vertical="center" wrapText="1"/>
      <protection/>
    </xf>
    <xf numFmtId="180" fontId="6" fillId="0" borderId="1" xfId="0" applyNumberFormat="1" applyFont="1" applyFill="1" applyBorder="1" applyAlignment="1" applyProtection="1">
      <alignment vertical="center"/>
      <protection/>
    </xf>
    <xf numFmtId="180" fontId="13" fillId="0" borderId="9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 applyProtection="1">
      <alignment vertical="center"/>
      <protection/>
    </xf>
    <xf numFmtId="180" fontId="6" fillId="0" borderId="0" xfId="0" applyNumberFormat="1" applyFont="1" applyFill="1" applyAlignment="1" applyProtection="1">
      <alignment/>
      <protection/>
    </xf>
    <xf numFmtId="180" fontId="8" fillId="6" borderId="9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 applyProtection="1">
      <alignment horizontal="center"/>
      <protection locked="0"/>
    </xf>
    <xf numFmtId="185" fontId="6" fillId="0" borderId="0" xfId="0" applyNumberFormat="1" applyFont="1" applyFill="1" applyAlignment="1" applyProtection="1">
      <alignment/>
      <protection locked="0"/>
    </xf>
    <xf numFmtId="180" fontId="6" fillId="0" borderId="8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horizontal="center" vertical="center" wrapText="1"/>
      <protection/>
    </xf>
    <xf numFmtId="180" fontId="8" fillId="4" borderId="9" xfId="0" applyNumberFormat="1" applyFont="1" applyFill="1" applyBorder="1" applyAlignment="1" applyProtection="1">
      <alignment horizontal="center" vertical="center" wrapText="1"/>
      <protection/>
    </xf>
    <xf numFmtId="180" fontId="8" fillId="5" borderId="9" xfId="0" applyNumberFormat="1" applyFont="1" applyFill="1" applyBorder="1" applyAlignment="1" applyProtection="1">
      <alignment horizontal="center" vertical="center" wrapText="1"/>
      <protection/>
    </xf>
    <xf numFmtId="184" fontId="6" fillId="0" borderId="9" xfId="0" applyNumberFormat="1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Alignment="1" applyProtection="1">
      <alignment horizontal="center" vertical="center" wrapText="1"/>
      <protection/>
    </xf>
    <xf numFmtId="186" fontId="7" fillId="7" borderId="14" xfId="0" applyNumberFormat="1" applyFont="1" applyFill="1" applyBorder="1" applyAlignment="1" applyProtection="1">
      <alignment horizontal="center" vertical="center" wrapText="1"/>
      <protection/>
    </xf>
    <xf numFmtId="189" fontId="5" fillId="7" borderId="13" xfId="0" applyNumberFormat="1" applyFont="1" applyFill="1" applyBorder="1" applyAlignment="1" applyProtection="1">
      <alignment horizontal="center" vertical="center"/>
      <protection/>
    </xf>
    <xf numFmtId="189" fontId="5" fillId="7" borderId="15" xfId="0" applyNumberFormat="1" applyFont="1" applyFill="1" applyBorder="1" applyAlignment="1" applyProtection="1">
      <alignment horizontal="center" vertic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86" fontId="7" fillId="5" borderId="14" xfId="0" applyNumberFormat="1" applyFont="1" applyFill="1" applyBorder="1" applyAlignment="1" applyProtection="1">
      <alignment horizontal="center" vertical="center" wrapText="1"/>
      <protection/>
    </xf>
    <xf numFmtId="189" fontId="5" fillId="5" borderId="13" xfId="0" applyNumberFormat="1" applyFont="1" applyFill="1" applyBorder="1" applyAlignment="1" applyProtection="1">
      <alignment horizontal="right" vertical="center"/>
      <protection/>
    </xf>
    <xf numFmtId="189" fontId="5" fillId="5" borderId="13" xfId="0" applyNumberFormat="1" applyFont="1" applyFill="1" applyBorder="1" applyAlignment="1" applyProtection="1">
      <alignment horizontal="center" vertical="center"/>
      <protection/>
    </xf>
    <xf numFmtId="189" fontId="5" fillId="5" borderId="15" xfId="0" applyNumberFormat="1" applyFont="1" applyFill="1" applyBorder="1" applyAlignment="1" applyProtection="1">
      <alignment horizontal="center" vertical="center"/>
      <protection/>
    </xf>
    <xf numFmtId="182" fontId="7" fillId="2" borderId="8" xfId="0" applyNumberFormat="1" applyFont="1" applyFill="1" applyBorder="1" applyAlignment="1" applyProtection="1">
      <alignment horizontal="center" vertical="center"/>
      <protection/>
    </xf>
    <xf numFmtId="182" fontId="7" fillId="2" borderId="9" xfId="0" applyNumberFormat="1" applyFont="1" applyFill="1" applyBorder="1" applyAlignment="1" applyProtection="1">
      <alignment horizontal="center" vertical="center"/>
      <protection/>
    </xf>
    <xf numFmtId="181" fontId="7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182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82" fontId="7" fillId="2" borderId="11" xfId="0" applyNumberFormat="1" applyFont="1" applyFill="1" applyBorder="1" applyAlignment="1" applyProtection="1">
      <alignment horizontal="center" vertical="center"/>
      <protection/>
    </xf>
    <xf numFmtId="182" fontId="7" fillId="2" borderId="1" xfId="0" applyNumberFormat="1" applyFont="1" applyFill="1" applyBorder="1" applyAlignment="1" applyProtection="1">
      <alignment horizontal="center" vertical="center"/>
      <protection/>
    </xf>
    <xf numFmtId="181" fontId="10" fillId="0" borderId="0" xfId="0" applyNumberFormat="1" applyFont="1" applyAlignment="1" applyProtection="1">
      <alignment/>
      <protection/>
    </xf>
    <xf numFmtId="182" fontId="7" fillId="2" borderId="14" xfId="0" applyNumberFormat="1" applyFont="1" applyFill="1" applyBorder="1" applyAlignment="1" applyProtection="1">
      <alignment horizontal="center" vertical="center"/>
      <protection/>
    </xf>
    <xf numFmtId="182" fontId="7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183" fontId="10" fillId="0" borderId="0" xfId="0" applyNumberFormat="1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81" fontId="1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2" borderId="19" xfId="0" applyFont="1" applyFill="1" applyBorder="1" applyAlignment="1" applyProtection="1">
      <alignment horizontal="center" vertical="center"/>
      <protection/>
    </xf>
    <xf numFmtId="0" fontId="5" fillId="2" borderId="20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弦圧曲線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'弦圧データ'!$J$1</c:f>
              <c:strCache>
                <c:ptCount val="1"/>
                <c:pt idx="0">
                  <c:v>後部弦圧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'弦圧データ'!$B$2:$B$89</c:f>
              <c:numCache>
                <c:ptCount val="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</c:numCache>
            </c:numRef>
          </c:xVal>
          <c:yVal>
            <c:numRef>
              <c:f>'弦圧データ'!$J$2:$J$89</c:f>
              <c:numCache>
                <c:ptCount val="88"/>
                <c:pt idx="0">
                  <c:v>0.12000000000000671</c:v>
                </c:pt>
                <c:pt idx="1">
                  <c:v>0.12000000000000671</c:v>
                </c:pt>
                <c:pt idx="2">
                  <c:v>0.12000000000000671</c:v>
                </c:pt>
                <c:pt idx="3">
                  <c:v>0.12000000000000671</c:v>
                </c:pt>
                <c:pt idx="4">
                  <c:v>0.12000000000000671</c:v>
                </c:pt>
                <c:pt idx="5">
                  <c:v>0.12000000000000671</c:v>
                </c:pt>
                <c:pt idx="6">
                  <c:v>0.12000000000000671</c:v>
                </c:pt>
                <c:pt idx="7">
                  <c:v>0.12000000000000671</c:v>
                </c:pt>
                <c:pt idx="8">
                  <c:v>0.12000000000000671</c:v>
                </c:pt>
                <c:pt idx="9">
                  <c:v>0.12000000000000671</c:v>
                </c:pt>
                <c:pt idx="10">
                  <c:v>0.12000000000000671</c:v>
                </c:pt>
                <c:pt idx="11">
                  <c:v>0.12000000000000671</c:v>
                </c:pt>
                <c:pt idx="12">
                  <c:v>0.12000000000000671</c:v>
                </c:pt>
                <c:pt idx="13">
                  <c:v>0.12000000000000671</c:v>
                </c:pt>
                <c:pt idx="14">
                  <c:v>0.12000000000000671</c:v>
                </c:pt>
                <c:pt idx="15">
                  <c:v>0.12000000000000671</c:v>
                </c:pt>
                <c:pt idx="16">
                  <c:v>0.12000000000000671</c:v>
                </c:pt>
                <c:pt idx="17">
                  <c:v>0.12000000000000671</c:v>
                </c:pt>
                <c:pt idx="18">
                  <c:v>0.12000000000000671</c:v>
                </c:pt>
                <c:pt idx="19">
                  <c:v>0.12000000000000671</c:v>
                </c:pt>
                <c:pt idx="20">
                  <c:v>0.12000000000000671</c:v>
                </c:pt>
                <c:pt idx="21">
                  <c:v>0.12000000000000671</c:v>
                </c:pt>
                <c:pt idx="22">
                  <c:v>0.12000000000000671</c:v>
                </c:pt>
                <c:pt idx="23">
                  <c:v>0.12000000000000671</c:v>
                </c:pt>
                <c:pt idx="24">
                  <c:v>0.12000000000000671</c:v>
                </c:pt>
                <c:pt idx="25">
                  <c:v>0.12000000000000671</c:v>
                </c:pt>
                <c:pt idx="26">
                  <c:v>0.12000000000000671</c:v>
                </c:pt>
                <c:pt idx="27">
                  <c:v>0.12000000000000671</c:v>
                </c:pt>
                <c:pt idx="28">
                  <c:v>0.12000000000000671</c:v>
                </c:pt>
                <c:pt idx="29">
                  <c:v>0.12000000000000671</c:v>
                </c:pt>
                <c:pt idx="30">
                  <c:v>0.12000000000000671</c:v>
                </c:pt>
                <c:pt idx="31">
                  <c:v>0.12000000000000671</c:v>
                </c:pt>
                <c:pt idx="32">
                  <c:v>0.12000000000000671</c:v>
                </c:pt>
                <c:pt idx="33">
                  <c:v>0.12000000000000671</c:v>
                </c:pt>
                <c:pt idx="34">
                  <c:v>0.12000000000000671</c:v>
                </c:pt>
                <c:pt idx="35">
                  <c:v>0.12000000000000671</c:v>
                </c:pt>
                <c:pt idx="36">
                  <c:v>0.12000000000000671</c:v>
                </c:pt>
                <c:pt idx="37">
                  <c:v>0.12000000000000671</c:v>
                </c:pt>
                <c:pt idx="38">
                  <c:v>0.12000000000000671</c:v>
                </c:pt>
                <c:pt idx="39">
                  <c:v>0.12000000000000671</c:v>
                </c:pt>
                <c:pt idx="40">
                  <c:v>0.12000000000000671</c:v>
                </c:pt>
                <c:pt idx="41">
                  <c:v>0.12000000000000671</c:v>
                </c:pt>
                <c:pt idx="42">
                  <c:v>0.12000000000000671</c:v>
                </c:pt>
                <c:pt idx="43">
                  <c:v>0.12000000000000671</c:v>
                </c:pt>
                <c:pt idx="44">
                  <c:v>0.12000000000000671</c:v>
                </c:pt>
                <c:pt idx="45">
                  <c:v>0.12000000000000671</c:v>
                </c:pt>
                <c:pt idx="46">
                  <c:v>0.12000000000000671</c:v>
                </c:pt>
                <c:pt idx="47">
                  <c:v>0.12000000000000671</c:v>
                </c:pt>
                <c:pt idx="48">
                  <c:v>0.12000000000000671</c:v>
                </c:pt>
                <c:pt idx="49">
                  <c:v>0.12000000000000671</c:v>
                </c:pt>
                <c:pt idx="50">
                  <c:v>0.12000000000000671</c:v>
                </c:pt>
                <c:pt idx="51">
                  <c:v>0.12000000000000671</c:v>
                </c:pt>
                <c:pt idx="52">
                  <c:v>0.12000000000000671</c:v>
                </c:pt>
                <c:pt idx="53">
                  <c:v>0.12000000000000671</c:v>
                </c:pt>
                <c:pt idx="54">
                  <c:v>0.12000000000000671</c:v>
                </c:pt>
                <c:pt idx="55">
                  <c:v>0.12000000000000671</c:v>
                </c:pt>
                <c:pt idx="56">
                  <c:v>0.12000000000000671</c:v>
                </c:pt>
                <c:pt idx="57">
                  <c:v>0.12000000000000671</c:v>
                </c:pt>
                <c:pt idx="58">
                  <c:v>0.12000000000000671</c:v>
                </c:pt>
                <c:pt idx="59">
                  <c:v>0.12000000000000671</c:v>
                </c:pt>
                <c:pt idx="60">
                  <c:v>0.12000000000000671</c:v>
                </c:pt>
                <c:pt idx="61">
                  <c:v>0.12000000000000671</c:v>
                </c:pt>
                <c:pt idx="62">
                  <c:v>0.12000000000000671</c:v>
                </c:pt>
                <c:pt idx="63">
                  <c:v>0.12000000000000671</c:v>
                </c:pt>
                <c:pt idx="64">
                  <c:v>0.12000000000000671</c:v>
                </c:pt>
                <c:pt idx="65">
                  <c:v>0.12000000000000671</c:v>
                </c:pt>
                <c:pt idx="66">
                  <c:v>0.12000000000000671</c:v>
                </c:pt>
                <c:pt idx="67">
                  <c:v>0.12000000000000671</c:v>
                </c:pt>
                <c:pt idx="68">
                  <c:v>0.12000000000000671</c:v>
                </c:pt>
                <c:pt idx="69">
                  <c:v>0.12000000000000671</c:v>
                </c:pt>
                <c:pt idx="70">
                  <c:v>0.12000000000000671</c:v>
                </c:pt>
                <c:pt idx="71">
                  <c:v>0.12000000000000671</c:v>
                </c:pt>
                <c:pt idx="72">
                  <c:v>0.12000000000000671</c:v>
                </c:pt>
                <c:pt idx="73">
                  <c:v>0.12000000000000671</c:v>
                </c:pt>
                <c:pt idx="74">
                  <c:v>0.12000000000000671</c:v>
                </c:pt>
                <c:pt idx="75">
                  <c:v>0.12000000000000671</c:v>
                </c:pt>
                <c:pt idx="76">
                  <c:v>0.12000000000000671</c:v>
                </c:pt>
                <c:pt idx="77">
                  <c:v>0.12000000000000671</c:v>
                </c:pt>
                <c:pt idx="78">
                  <c:v>0.12000000000000671</c:v>
                </c:pt>
                <c:pt idx="79">
                  <c:v>0.12000000000000671</c:v>
                </c:pt>
                <c:pt idx="80">
                  <c:v>0.12000000000000671</c:v>
                </c:pt>
                <c:pt idx="81">
                  <c:v>0.12000000000000671</c:v>
                </c:pt>
                <c:pt idx="82">
                  <c:v>0.12000000000000671</c:v>
                </c:pt>
                <c:pt idx="83">
                  <c:v>0.12000000000000671</c:v>
                </c:pt>
                <c:pt idx="84">
                  <c:v>0.12000000000000671</c:v>
                </c:pt>
                <c:pt idx="85">
                  <c:v>0.12000000000000671</c:v>
                </c:pt>
                <c:pt idx="86">
                  <c:v>0.12000000000000671</c:v>
                </c:pt>
                <c:pt idx="87">
                  <c:v>0.12000000000000671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'弦圧データ'!$K$1</c:f>
              <c:strCache>
                <c:ptCount val="1"/>
                <c:pt idx="0">
                  <c:v>前部弦圧 (kg)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'弦圧データ'!$B$2:$B$89</c:f>
              <c:numCache>
                <c:ptCount val="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</c:numCache>
            </c:numRef>
          </c:xVal>
          <c:yVal>
            <c:numRef>
              <c:f>'弦圧データ'!$K$2:$K$89</c:f>
              <c:numCache>
                <c:ptCount val="88"/>
                <c:pt idx="0">
                  <c:v>0.12000000000000671</c:v>
                </c:pt>
                <c:pt idx="1">
                  <c:v>0.12000000000000671</c:v>
                </c:pt>
                <c:pt idx="2">
                  <c:v>0.12000000000000671</c:v>
                </c:pt>
                <c:pt idx="3">
                  <c:v>0.12000000000000671</c:v>
                </c:pt>
                <c:pt idx="4">
                  <c:v>0.12000000000000671</c:v>
                </c:pt>
                <c:pt idx="5">
                  <c:v>0.12000000000000671</c:v>
                </c:pt>
                <c:pt idx="6">
                  <c:v>0.12000000000000671</c:v>
                </c:pt>
                <c:pt idx="7">
                  <c:v>0.12000000000000671</c:v>
                </c:pt>
                <c:pt idx="8">
                  <c:v>0.12000000000000671</c:v>
                </c:pt>
                <c:pt idx="9">
                  <c:v>0.12000000000000671</c:v>
                </c:pt>
                <c:pt idx="10">
                  <c:v>0.12000000000000671</c:v>
                </c:pt>
                <c:pt idx="11">
                  <c:v>0.12000000000000671</c:v>
                </c:pt>
                <c:pt idx="12">
                  <c:v>0.12000000000000671</c:v>
                </c:pt>
                <c:pt idx="13">
                  <c:v>0.12000000000000671</c:v>
                </c:pt>
                <c:pt idx="14">
                  <c:v>0.12000000000000671</c:v>
                </c:pt>
                <c:pt idx="15">
                  <c:v>0.12000000000000671</c:v>
                </c:pt>
                <c:pt idx="16">
                  <c:v>0.12000000000000671</c:v>
                </c:pt>
                <c:pt idx="17">
                  <c:v>0.12000000000000671</c:v>
                </c:pt>
                <c:pt idx="18">
                  <c:v>0.12000000000000671</c:v>
                </c:pt>
                <c:pt idx="19">
                  <c:v>0.12000000000000671</c:v>
                </c:pt>
                <c:pt idx="20">
                  <c:v>0.12000000000000671</c:v>
                </c:pt>
                <c:pt idx="21">
                  <c:v>0.12000000000000671</c:v>
                </c:pt>
                <c:pt idx="22">
                  <c:v>0.12000000000000671</c:v>
                </c:pt>
                <c:pt idx="23">
                  <c:v>0.12000000000000671</c:v>
                </c:pt>
                <c:pt idx="24">
                  <c:v>0.12000000000000671</c:v>
                </c:pt>
                <c:pt idx="25">
                  <c:v>0.12000000000000671</c:v>
                </c:pt>
                <c:pt idx="26">
                  <c:v>0.12000000000000671</c:v>
                </c:pt>
                <c:pt idx="27">
                  <c:v>0.12000000000000671</c:v>
                </c:pt>
                <c:pt idx="28">
                  <c:v>0.12000000000000671</c:v>
                </c:pt>
                <c:pt idx="29">
                  <c:v>0.12000000000000671</c:v>
                </c:pt>
                <c:pt idx="30">
                  <c:v>0.12000000000000671</c:v>
                </c:pt>
                <c:pt idx="31">
                  <c:v>0.12000000000000671</c:v>
                </c:pt>
                <c:pt idx="32">
                  <c:v>0.12000000000000671</c:v>
                </c:pt>
                <c:pt idx="33">
                  <c:v>0.12000000000000671</c:v>
                </c:pt>
                <c:pt idx="34">
                  <c:v>0.12000000000000671</c:v>
                </c:pt>
                <c:pt idx="35">
                  <c:v>0.12000000000000671</c:v>
                </c:pt>
                <c:pt idx="36">
                  <c:v>0.12000000000000671</c:v>
                </c:pt>
                <c:pt idx="37">
                  <c:v>0.12000000000000671</c:v>
                </c:pt>
                <c:pt idx="38">
                  <c:v>0.12000000000000671</c:v>
                </c:pt>
                <c:pt idx="39">
                  <c:v>0.12000000000000671</c:v>
                </c:pt>
                <c:pt idx="40">
                  <c:v>0.12000000000000671</c:v>
                </c:pt>
                <c:pt idx="41">
                  <c:v>0.12000000000000671</c:v>
                </c:pt>
                <c:pt idx="42">
                  <c:v>0.12000000000000671</c:v>
                </c:pt>
                <c:pt idx="43">
                  <c:v>0.12000000000000671</c:v>
                </c:pt>
                <c:pt idx="44">
                  <c:v>0.12000000000000671</c:v>
                </c:pt>
                <c:pt idx="45">
                  <c:v>0.12000000000000671</c:v>
                </c:pt>
                <c:pt idx="46">
                  <c:v>0.12000000000000671</c:v>
                </c:pt>
                <c:pt idx="47">
                  <c:v>0.12000000000000671</c:v>
                </c:pt>
                <c:pt idx="48">
                  <c:v>0.12000000000000671</c:v>
                </c:pt>
                <c:pt idx="49">
                  <c:v>0.12000000000000671</c:v>
                </c:pt>
                <c:pt idx="50">
                  <c:v>0.12000000000000671</c:v>
                </c:pt>
                <c:pt idx="51">
                  <c:v>0.12000000000000671</c:v>
                </c:pt>
                <c:pt idx="52">
                  <c:v>0.12000000000000671</c:v>
                </c:pt>
                <c:pt idx="53">
                  <c:v>0.12000000000000671</c:v>
                </c:pt>
                <c:pt idx="54">
                  <c:v>0.12000000000000671</c:v>
                </c:pt>
                <c:pt idx="55">
                  <c:v>0.12000000000000671</c:v>
                </c:pt>
                <c:pt idx="56">
                  <c:v>0.12000000000000671</c:v>
                </c:pt>
                <c:pt idx="57">
                  <c:v>0.12000000000000671</c:v>
                </c:pt>
                <c:pt idx="58">
                  <c:v>0.12000000000000671</c:v>
                </c:pt>
                <c:pt idx="59">
                  <c:v>0.12000000000000671</c:v>
                </c:pt>
                <c:pt idx="60">
                  <c:v>0.12000000000000671</c:v>
                </c:pt>
                <c:pt idx="61">
                  <c:v>0.12000000000000671</c:v>
                </c:pt>
                <c:pt idx="62">
                  <c:v>0.12000000000000671</c:v>
                </c:pt>
                <c:pt idx="63">
                  <c:v>0.12000000000000671</c:v>
                </c:pt>
                <c:pt idx="64">
                  <c:v>0.12000000000000671</c:v>
                </c:pt>
                <c:pt idx="65">
                  <c:v>0.12000000000000671</c:v>
                </c:pt>
                <c:pt idx="66">
                  <c:v>0.12000000000000671</c:v>
                </c:pt>
                <c:pt idx="67">
                  <c:v>0.12000000000000671</c:v>
                </c:pt>
                <c:pt idx="68">
                  <c:v>0.12000000000000671</c:v>
                </c:pt>
                <c:pt idx="69">
                  <c:v>0.12000000000000671</c:v>
                </c:pt>
                <c:pt idx="70">
                  <c:v>0.12000000000000671</c:v>
                </c:pt>
                <c:pt idx="71">
                  <c:v>0.12000000000000671</c:v>
                </c:pt>
                <c:pt idx="72">
                  <c:v>0.12000000000000671</c:v>
                </c:pt>
                <c:pt idx="73">
                  <c:v>0.12000000000000671</c:v>
                </c:pt>
                <c:pt idx="74">
                  <c:v>0.12000000000000671</c:v>
                </c:pt>
                <c:pt idx="75">
                  <c:v>0.12000000000000671</c:v>
                </c:pt>
                <c:pt idx="76">
                  <c:v>0.12000000000000671</c:v>
                </c:pt>
                <c:pt idx="77">
                  <c:v>0.12000000000000671</c:v>
                </c:pt>
                <c:pt idx="78">
                  <c:v>0.12000000000000671</c:v>
                </c:pt>
                <c:pt idx="79">
                  <c:v>0.12000000000000671</c:v>
                </c:pt>
                <c:pt idx="80">
                  <c:v>0.12000000000000671</c:v>
                </c:pt>
                <c:pt idx="81">
                  <c:v>0.12000000000000671</c:v>
                </c:pt>
                <c:pt idx="82">
                  <c:v>0.12000000000000671</c:v>
                </c:pt>
                <c:pt idx="83">
                  <c:v>0.12000000000000671</c:v>
                </c:pt>
                <c:pt idx="84">
                  <c:v>0.12000000000000671</c:v>
                </c:pt>
                <c:pt idx="85">
                  <c:v>0.12000000000000671</c:v>
                </c:pt>
                <c:pt idx="86">
                  <c:v>0.12000000000000671</c:v>
                </c:pt>
                <c:pt idx="87">
                  <c:v>0.24000000000000682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'弦圧データ'!$L$1</c:f>
              <c:strCache>
                <c:ptCount val="1"/>
                <c:pt idx="0">
                  <c:v>測定弦圧 (kg)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'弦圧データ'!$B$2:$B$89</c:f>
              <c:numCache>
                <c:ptCount val="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</c:numCache>
            </c:numRef>
          </c:xVal>
          <c:yVal>
            <c:numRef>
              <c:f>'弦圧データ'!$L$2:$L$89</c:f>
              <c:numCache>
                <c:ptCount val="88"/>
                <c:pt idx="0">
                  <c:v>0.24000000000001342</c:v>
                </c:pt>
                <c:pt idx="1">
                  <c:v>0.24000000000001342</c:v>
                </c:pt>
                <c:pt idx="2">
                  <c:v>0.24000000000001342</c:v>
                </c:pt>
                <c:pt idx="3">
                  <c:v>0.24000000000001342</c:v>
                </c:pt>
                <c:pt idx="4">
                  <c:v>0.24000000000001342</c:v>
                </c:pt>
                <c:pt idx="5">
                  <c:v>0.24000000000001342</c:v>
                </c:pt>
                <c:pt idx="6">
                  <c:v>0.24000000000001342</c:v>
                </c:pt>
                <c:pt idx="7">
                  <c:v>0.24000000000001342</c:v>
                </c:pt>
                <c:pt idx="8">
                  <c:v>0.24000000000001342</c:v>
                </c:pt>
                <c:pt idx="9">
                  <c:v>0.24000000000001342</c:v>
                </c:pt>
                <c:pt idx="10">
                  <c:v>0.24000000000001342</c:v>
                </c:pt>
                <c:pt idx="11">
                  <c:v>0.24000000000001342</c:v>
                </c:pt>
                <c:pt idx="12">
                  <c:v>0.24000000000001342</c:v>
                </c:pt>
                <c:pt idx="13">
                  <c:v>0.24000000000001342</c:v>
                </c:pt>
                <c:pt idx="14">
                  <c:v>0.24000000000001342</c:v>
                </c:pt>
                <c:pt idx="15">
                  <c:v>0.24000000000001342</c:v>
                </c:pt>
                <c:pt idx="16">
                  <c:v>0.24000000000001342</c:v>
                </c:pt>
                <c:pt idx="17">
                  <c:v>0.24000000000001342</c:v>
                </c:pt>
                <c:pt idx="18">
                  <c:v>0.24000000000001342</c:v>
                </c:pt>
                <c:pt idx="19">
                  <c:v>0.24000000000001342</c:v>
                </c:pt>
                <c:pt idx="20">
                  <c:v>0.24000000000001342</c:v>
                </c:pt>
                <c:pt idx="21">
                  <c:v>0.24000000000001342</c:v>
                </c:pt>
                <c:pt idx="22">
                  <c:v>0.24000000000001342</c:v>
                </c:pt>
                <c:pt idx="23">
                  <c:v>0.24000000000001342</c:v>
                </c:pt>
                <c:pt idx="24">
                  <c:v>0.24000000000001342</c:v>
                </c:pt>
                <c:pt idx="25">
                  <c:v>0.24000000000001342</c:v>
                </c:pt>
                <c:pt idx="26">
                  <c:v>0.24000000000001342</c:v>
                </c:pt>
                <c:pt idx="27">
                  <c:v>0.24000000000001342</c:v>
                </c:pt>
                <c:pt idx="28">
                  <c:v>0.24000000000001342</c:v>
                </c:pt>
                <c:pt idx="29">
                  <c:v>0.24000000000001342</c:v>
                </c:pt>
                <c:pt idx="30">
                  <c:v>0.24000000000001342</c:v>
                </c:pt>
                <c:pt idx="31">
                  <c:v>0.24000000000001342</c:v>
                </c:pt>
                <c:pt idx="32">
                  <c:v>0.24000000000001342</c:v>
                </c:pt>
                <c:pt idx="33">
                  <c:v>0.24000000000001342</c:v>
                </c:pt>
                <c:pt idx="34">
                  <c:v>0.24000000000001342</c:v>
                </c:pt>
                <c:pt idx="35">
                  <c:v>0.24000000000001342</c:v>
                </c:pt>
                <c:pt idx="36">
                  <c:v>0.24000000000001342</c:v>
                </c:pt>
                <c:pt idx="37">
                  <c:v>0.24000000000001342</c:v>
                </c:pt>
                <c:pt idx="38">
                  <c:v>0.24000000000001342</c:v>
                </c:pt>
                <c:pt idx="39">
                  <c:v>0.24000000000001342</c:v>
                </c:pt>
                <c:pt idx="40">
                  <c:v>0.24000000000001342</c:v>
                </c:pt>
                <c:pt idx="41">
                  <c:v>0.24000000000001342</c:v>
                </c:pt>
                <c:pt idx="42">
                  <c:v>0.24000000000001342</c:v>
                </c:pt>
                <c:pt idx="43">
                  <c:v>0.24000000000001342</c:v>
                </c:pt>
                <c:pt idx="44">
                  <c:v>0.24000000000001342</c:v>
                </c:pt>
                <c:pt idx="45">
                  <c:v>0.24000000000001342</c:v>
                </c:pt>
                <c:pt idx="46">
                  <c:v>0.24000000000001342</c:v>
                </c:pt>
                <c:pt idx="47">
                  <c:v>0.24000000000001342</c:v>
                </c:pt>
                <c:pt idx="48">
                  <c:v>0.24000000000001342</c:v>
                </c:pt>
                <c:pt idx="49">
                  <c:v>0.24000000000001342</c:v>
                </c:pt>
                <c:pt idx="50">
                  <c:v>0.24000000000001342</c:v>
                </c:pt>
                <c:pt idx="51">
                  <c:v>0.24000000000001342</c:v>
                </c:pt>
                <c:pt idx="52">
                  <c:v>0.24000000000001342</c:v>
                </c:pt>
                <c:pt idx="53">
                  <c:v>0.24000000000001342</c:v>
                </c:pt>
                <c:pt idx="54">
                  <c:v>0.24000000000001342</c:v>
                </c:pt>
                <c:pt idx="55">
                  <c:v>0.24000000000001342</c:v>
                </c:pt>
                <c:pt idx="56">
                  <c:v>0.24000000000001342</c:v>
                </c:pt>
                <c:pt idx="57">
                  <c:v>0.24000000000001342</c:v>
                </c:pt>
                <c:pt idx="58">
                  <c:v>0.24000000000001342</c:v>
                </c:pt>
                <c:pt idx="59">
                  <c:v>0.24000000000001342</c:v>
                </c:pt>
                <c:pt idx="60">
                  <c:v>0.24000000000001342</c:v>
                </c:pt>
                <c:pt idx="61">
                  <c:v>0.24000000000001342</c:v>
                </c:pt>
                <c:pt idx="62">
                  <c:v>0.24000000000001342</c:v>
                </c:pt>
                <c:pt idx="63">
                  <c:v>0.24000000000001342</c:v>
                </c:pt>
                <c:pt idx="64">
                  <c:v>0.24000000000001342</c:v>
                </c:pt>
                <c:pt idx="65">
                  <c:v>0.24000000000001342</c:v>
                </c:pt>
                <c:pt idx="66">
                  <c:v>0.24000000000001342</c:v>
                </c:pt>
                <c:pt idx="67">
                  <c:v>0.24000000000001342</c:v>
                </c:pt>
                <c:pt idx="68">
                  <c:v>0.24000000000001342</c:v>
                </c:pt>
                <c:pt idx="69">
                  <c:v>0.24000000000001342</c:v>
                </c:pt>
                <c:pt idx="70">
                  <c:v>0.24000000000001342</c:v>
                </c:pt>
                <c:pt idx="71">
                  <c:v>0.24000000000001342</c:v>
                </c:pt>
                <c:pt idx="72">
                  <c:v>0.24000000000001342</c:v>
                </c:pt>
                <c:pt idx="73">
                  <c:v>0.24000000000001342</c:v>
                </c:pt>
                <c:pt idx="74">
                  <c:v>0.24000000000001342</c:v>
                </c:pt>
                <c:pt idx="75">
                  <c:v>0.24000000000001342</c:v>
                </c:pt>
                <c:pt idx="76">
                  <c:v>0.24000000000001342</c:v>
                </c:pt>
                <c:pt idx="77">
                  <c:v>0.24000000000001342</c:v>
                </c:pt>
                <c:pt idx="78">
                  <c:v>0.24000000000001342</c:v>
                </c:pt>
                <c:pt idx="79">
                  <c:v>0.24000000000001342</c:v>
                </c:pt>
                <c:pt idx="80">
                  <c:v>0.24000000000001342</c:v>
                </c:pt>
                <c:pt idx="81">
                  <c:v>0.24000000000001342</c:v>
                </c:pt>
                <c:pt idx="82">
                  <c:v>0.24000000000001342</c:v>
                </c:pt>
                <c:pt idx="83">
                  <c:v>0.24000000000001342</c:v>
                </c:pt>
                <c:pt idx="84">
                  <c:v>0.24000000000001342</c:v>
                </c:pt>
                <c:pt idx="85">
                  <c:v>0.24000000000001342</c:v>
                </c:pt>
                <c:pt idx="86">
                  <c:v>0.24000000000001342</c:v>
                </c:pt>
                <c:pt idx="87">
                  <c:v>0.36000000000001353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'弦圧データ'!$M$1</c:f>
              <c:strCache>
                <c:ptCount val="1"/>
                <c:pt idx="0">
                  <c:v>標準弦圧 (kg)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'弦圧データ'!$B$2:$B$89</c:f>
              <c:numCache>
                <c:ptCount val="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</c:numCache>
            </c:numRef>
          </c:xVal>
          <c:yVal>
            <c:numRef>
              <c:f>'弦圧データ'!$M$2:$M$89</c:f>
              <c:numCache>
                <c:ptCount val="88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1.2</c:v>
                </c:pt>
                <c:pt idx="26">
                  <c:v>1.2</c:v>
                </c:pt>
                <c:pt idx="27">
                  <c:v>1.2</c:v>
                </c:pt>
                <c:pt idx="28">
                  <c:v>1.2</c:v>
                </c:pt>
                <c:pt idx="29">
                  <c:v>1.2</c:v>
                </c:pt>
                <c:pt idx="30">
                  <c:v>1.2</c:v>
                </c:pt>
                <c:pt idx="31">
                  <c:v>1.2</c:v>
                </c:pt>
                <c:pt idx="32">
                  <c:v>1.2</c:v>
                </c:pt>
                <c:pt idx="33">
                  <c:v>1.2</c:v>
                </c:pt>
                <c:pt idx="34">
                  <c:v>1.2</c:v>
                </c:pt>
                <c:pt idx="35">
                  <c:v>1.2</c:v>
                </c:pt>
                <c:pt idx="36">
                  <c:v>1.2</c:v>
                </c:pt>
                <c:pt idx="37">
                  <c:v>1.2</c:v>
                </c:pt>
                <c:pt idx="38">
                  <c:v>1.2</c:v>
                </c:pt>
                <c:pt idx="39">
                  <c:v>1.2</c:v>
                </c:pt>
                <c:pt idx="40">
                  <c:v>1.2</c:v>
                </c:pt>
                <c:pt idx="41">
                  <c:v>1.2</c:v>
                </c:pt>
                <c:pt idx="42">
                  <c:v>1.2</c:v>
                </c:pt>
                <c:pt idx="43">
                  <c:v>1.2</c:v>
                </c:pt>
                <c:pt idx="44">
                  <c:v>1.2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1.2</c:v>
                </c:pt>
                <c:pt idx="50">
                  <c:v>1.2</c:v>
                </c:pt>
                <c:pt idx="51">
                  <c:v>1.2</c:v>
                </c:pt>
                <c:pt idx="52">
                  <c:v>1.2</c:v>
                </c:pt>
                <c:pt idx="53">
                  <c:v>1.2</c:v>
                </c:pt>
                <c:pt idx="54">
                  <c:v>1.2</c:v>
                </c:pt>
                <c:pt idx="55">
                  <c:v>1.2</c:v>
                </c:pt>
                <c:pt idx="56">
                  <c:v>1.2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  <c:pt idx="60">
                  <c:v>1.2</c:v>
                </c:pt>
                <c:pt idx="61">
                  <c:v>1.2</c:v>
                </c:pt>
                <c:pt idx="62">
                  <c:v>1.2</c:v>
                </c:pt>
                <c:pt idx="63">
                  <c:v>1.2</c:v>
                </c:pt>
                <c:pt idx="64">
                  <c:v>1.2</c:v>
                </c:pt>
                <c:pt idx="65">
                  <c:v>1.2</c:v>
                </c:pt>
                <c:pt idx="66">
                  <c:v>1.2</c:v>
                </c:pt>
                <c:pt idx="67">
                  <c:v>1.2</c:v>
                </c:pt>
                <c:pt idx="68">
                  <c:v>1.2</c:v>
                </c:pt>
                <c:pt idx="69">
                  <c:v>1.2</c:v>
                </c:pt>
                <c:pt idx="70">
                  <c:v>1.2</c:v>
                </c:pt>
                <c:pt idx="71">
                  <c:v>1.2</c:v>
                </c:pt>
                <c:pt idx="72">
                  <c:v>1.2</c:v>
                </c:pt>
                <c:pt idx="73">
                  <c:v>1.2</c:v>
                </c:pt>
                <c:pt idx="74">
                  <c:v>1.2</c:v>
                </c:pt>
                <c:pt idx="75">
                  <c:v>1.2</c:v>
                </c:pt>
                <c:pt idx="76">
                  <c:v>1.2</c:v>
                </c:pt>
                <c:pt idx="77">
                  <c:v>1.2</c:v>
                </c:pt>
                <c:pt idx="78">
                  <c:v>1.2</c:v>
                </c:pt>
                <c:pt idx="79">
                  <c:v>1.2</c:v>
                </c:pt>
                <c:pt idx="80">
                  <c:v>1.2</c:v>
                </c:pt>
                <c:pt idx="81">
                  <c:v>1.2</c:v>
                </c:pt>
                <c:pt idx="82">
                  <c:v>1.2</c:v>
                </c:pt>
                <c:pt idx="83">
                  <c:v>1.2</c:v>
                </c:pt>
                <c:pt idx="84">
                  <c:v>1.2</c:v>
                </c:pt>
                <c:pt idx="85">
                  <c:v>1.2</c:v>
                </c:pt>
                <c:pt idx="86">
                  <c:v>1.2</c:v>
                </c:pt>
                <c:pt idx="87">
                  <c:v>1.2</c:v>
                </c:pt>
              </c:numCache>
            </c:numRef>
          </c:yVal>
          <c:smooth val="0"/>
        </c:ser>
        <c:ser>
          <c:idx val="4"/>
          <c:order val="4"/>
          <c:tx>
            <c:v>完成弦圧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'弦圧データ'!$B$2:$B$89</c:f>
              <c:numCache>
                <c:ptCount val="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</c:numCache>
            </c:numRef>
          </c:xVal>
          <c:yVal>
            <c:numRef>
              <c:f>'弦圧データ'!$W$2:$W$89</c:f>
              <c:numCache>
                <c:ptCount val="88"/>
                <c:pt idx="0">
                  <c:v>1.2182608695652308</c:v>
                </c:pt>
                <c:pt idx="1">
                  <c:v>1.193389830508488</c:v>
                </c:pt>
                <c:pt idx="2">
                  <c:v>1.1328571428571563</c:v>
                </c:pt>
                <c:pt idx="3">
                  <c:v>1.2496153846153981</c:v>
                </c:pt>
                <c:pt idx="4">
                  <c:v>1.205073529411778</c:v>
                </c:pt>
                <c:pt idx="5">
                  <c:v>1.1578321678321812</c:v>
                </c:pt>
                <c:pt idx="6">
                  <c:v>1.2400000000000135</c:v>
                </c:pt>
                <c:pt idx="7">
                  <c:v>1.1954140127388668</c:v>
                </c:pt>
                <c:pt idx="8">
                  <c:v>1.1602453987730197</c:v>
                </c:pt>
                <c:pt idx="9">
                  <c:v>1.2444642857142991</c:v>
                </c:pt>
                <c:pt idx="10">
                  <c:v>1.2154335260115743</c:v>
                </c:pt>
                <c:pt idx="11">
                  <c:v>1.2154335260115743</c:v>
                </c:pt>
                <c:pt idx="12">
                  <c:v>1.2070487106017325</c:v>
                </c:pt>
                <c:pt idx="13">
                  <c:v>1.193389830508488</c:v>
                </c:pt>
                <c:pt idx="14">
                  <c:v>1.1988068181818317</c:v>
                </c:pt>
                <c:pt idx="15">
                  <c:v>1.2297360703812452</c:v>
                </c:pt>
                <c:pt idx="16">
                  <c:v>1.1436144578313387</c:v>
                </c:pt>
                <c:pt idx="17">
                  <c:v>1.1833962264151077</c:v>
                </c:pt>
                <c:pt idx="18">
                  <c:v>1.2366777408638008</c:v>
                </c:pt>
                <c:pt idx="19">
                  <c:v>1.1420618556701165</c:v>
                </c:pt>
                <c:pt idx="20">
                  <c:v>1.1869696969697103</c:v>
                </c:pt>
                <c:pt idx="21">
                  <c:v>1.1389726027397393</c:v>
                </c:pt>
                <c:pt idx="22">
                  <c:v>1.193389830508488</c:v>
                </c:pt>
                <c:pt idx="23">
                  <c:v>1.2412135922330232</c:v>
                </c:pt>
                <c:pt idx="24">
                  <c:v>1.1853781512605175</c:v>
                </c:pt>
                <c:pt idx="25">
                  <c:v>1.1739080459770248</c:v>
                </c:pt>
                <c:pt idx="26">
                  <c:v>1.180860215053777</c:v>
                </c:pt>
                <c:pt idx="27">
                  <c:v>1.2373404255319285</c:v>
                </c:pt>
                <c:pt idx="28">
                  <c:v>1.201538461538475</c:v>
                </c:pt>
                <c:pt idx="29">
                  <c:v>1.2363768115942162</c:v>
                </c:pt>
                <c:pt idx="30">
                  <c:v>1.1546341463414769</c:v>
                </c:pt>
                <c:pt idx="31">
                  <c:v>1.1775000000000135</c:v>
                </c:pt>
                <c:pt idx="32">
                  <c:v>1.1822110552763954</c:v>
                </c:pt>
                <c:pt idx="33">
                  <c:v>1.2373404255319285</c:v>
                </c:pt>
                <c:pt idx="34">
                  <c:v>1.1571195652174047</c:v>
                </c:pt>
                <c:pt idx="35">
                  <c:v>1.238520710059185</c:v>
                </c:pt>
                <c:pt idx="36">
                  <c:v>1.1602453987730197</c:v>
                </c:pt>
                <c:pt idx="37">
                  <c:v>1.1578321678321812</c:v>
                </c:pt>
                <c:pt idx="38">
                  <c:v>1.1980291970803054</c:v>
                </c:pt>
                <c:pt idx="39">
                  <c:v>1.2103196347032097</c:v>
                </c:pt>
                <c:pt idx="40">
                  <c:v>1.2061835748792404</c:v>
                </c:pt>
                <c:pt idx="41">
                  <c:v>1.196632653061238</c:v>
                </c:pt>
                <c:pt idx="42">
                  <c:v>1.216211849192114</c:v>
                </c:pt>
                <c:pt idx="43">
                  <c:v>1.2061259541984866</c:v>
                </c:pt>
                <c:pt idx="44">
                  <c:v>1.1812650602409773</c:v>
                </c:pt>
                <c:pt idx="45">
                  <c:v>1.1954140127388668</c:v>
                </c:pt>
                <c:pt idx="46">
                  <c:v>1.2047651006711544</c:v>
                </c:pt>
                <c:pt idx="47">
                  <c:v>1.2128773584905794</c:v>
                </c:pt>
                <c:pt idx="48">
                  <c:v>1.2219201995012603</c:v>
                </c:pt>
                <c:pt idx="49">
                  <c:v>1.2165625000000135</c:v>
                </c:pt>
                <c:pt idx="50">
                  <c:v>1.224116022099461</c:v>
                </c:pt>
                <c:pt idx="51">
                  <c:v>1.1914925373134464</c:v>
                </c:pt>
                <c:pt idx="52">
                  <c:v>1.1716770186335537</c:v>
                </c:pt>
                <c:pt idx="53">
                  <c:v>1.2077419354838845</c:v>
                </c:pt>
                <c:pt idx="54">
                  <c:v>1.1869696969697103</c:v>
                </c:pt>
                <c:pt idx="55">
                  <c:v>1.230316901408464</c:v>
                </c:pt>
                <c:pt idx="56">
                  <c:v>1.2122222222222356</c:v>
                </c:pt>
                <c:pt idx="57">
                  <c:v>1.19588235294119</c:v>
                </c:pt>
                <c:pt idx="58">
                  <c:v>1.169752066115716</c:v>
                </c:pt>
                <c:pt idx="59">
                  <c:v>1.2225327510917166</c:v>
                </c:pt>
                <c:pt idx="60">
                  <c:v>1.186100917431206</c:v>
                </c:pt>
                <c:pt idx="61">
                  <c:v>1.2305660377358625</c:v>
                </c:pt>
                <c:pt idx="62">
                  <c:v>1.201538461538475</c:v>
                </c:pt>
                <c:pt idx="63">
                  <c:v>1.1521621621621756</c:v>
                </c:pt>
                <c:pt idx="64">
                  <c:v>1.201538461538475</c:v>
                </c:pt>
                <c:pt idx="65">
                  <c:v>1.2535135135135271</c:v>
                </c:pt>
                <c:pt idx="66">
                  <c:v>1.1923809523809656</c:v>
                </c:pt>
                <c:pt idx="67">
                  <c:v>1.2400000000000135</c:v>
                </c:pt>
                <c:pt idx="68">
                  <c:v>1.1876534296029015</c:v>
                </c:pt>
                <c:pt idx="69">
                  <c:v>1.2343181818181952</c:v>
                </c:pt>
                <c:pt idx="70">
                  <c:v>1.1328571428571563</c:v>
                </c:pt>
                <c:pt idx="71">
                  <c:v>1.1775000000000135</c:v>
                </c:pt>
                <c:pt idx="72">
                  <c:v>1.2268421052631713</c:v>
                </c:pt>
                <c:pt idx="73">
                  <c:v>1.276866359447018</c:v>
                </c:pt>
                <c:pt idx="74">
                  <c:v>1.159117647058837</c:v>
                </c:pt>
                <c:pt idx="75">
                  <c:v>1.2165625000000135</c:v>
                </c:pt>
                <c:pt idx="76">
                  <c:v>1.2702197802197936</c:v>
                </c:pt>
                <c:pt idx="77">
                  <c:v>1.1171929824561537</c:v>
                </c:pt>
                <c:pt idx="78">
                  <c:v>1.1716770186335537</c:v>
                </c:pt>
                <c:pt idx="79">
                  <c:v>1.2400000000000135</c:v>
                </c:pt>
                <c:pt idx="80">
                  <c:v>1.28166666666668</c:v>
                </c:pt>
                <c:pt idx="81">
                  <c:v>1.0672058823529547</c:v>
                </c:pt>
                <c:pt idx="82">
                  <c:v>1.1189062500000135</c:v>
                </c:pt>
                <c:pt idx="83">
                  <c:v>1.1775000000000135</c:v>
                </c:pt>
                <c:pt idx="84">
                  <c:v>1.2268421052631713</c:v>
                </c:pt>
                <c:pt idx="85">
                  <c:v>1.262727272727286</c:v>
                </c:pt>
                <c:pt idx="86">
                  <c:v>1.3217307692307827</c:v>
                </c:pt>
                <c:pt idx="87">
                  <c:v>1.1100000000000136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'弦圧データ'!$N$1</c:f>
              <c:strCache>
                <c:ptCount val="1"/>
                <c:pt idx="0">
                  <c:v>MIN 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'弦圧データ'!$B$2:$B$89</c:f>
              <c:numCache>
                <c:ptCount val="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</c:numCache>
            </c:numRef>
          </c:xVal>
          <c:yVal>
            <c:numRef>
              <c:f>'弦圧データ'!$N$2:$N$89</c:f>
              <c:numCache>
                <c:ptCount val="88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1.2</c:v>
                </c:pt>
                <c:pt idx="26">
                  <c:v>1.2</c:v>
                </c:pt>
                <c:pt idx="27">
                  <c:v>1.2</c:v>
                </c:pt>
                <c:pt idx="28">
                  <c:v>1.2</c:v>
                </c:pt>
                <c:pt idx="29">
                  <c:v>1.2</c:v>
                </c:pt>
                <c:pt idx="30">
                  <c:v>1.2</c:v>
                </c:pt>
                <c:pt idx="31">
                  <c:v>1.2</c:v>
                </c:pt>
                <c:pt idx="32">
                  <c:v>1.2</c:v>
                </c:pt>
                <c:pt idx="33">
                  <c:v>1.2</c:v>
                </c:pt>
                <c:pt idx="34">
                  <c:v>1.2</c:v>
                </c:pt>
                <c:pt idx="35">
                  <c:v>1.2</c:v>
                </c:pt>
                <c:pt idx="36">
                  <c:v>1.2</c:v>
                </c:pt>
                <c:pt idx="37">
                  <c:v>1.2</c:v>
                </c:pt>
                <c:pt idx="38">
                  <c:v>1.2</c:v>
                </c:pt>
                <c:pt idx="39">
                  <c:v>1.2</c:v>
                </c:pt>
                <c:pt idx="40">
                  <c:v>1.2</c:v>
                </c:pt>
                <c:pt idx="41">
                  <c:v>1.2</c:v>
                </c:pt>
                <c:pt idx="42">
                  <c:v>1.2</c:v>
                </c:pt>
                <c:pt idx="43">
                  <c:v>1.2</c:v>
                </c:pt>
                <c:pt idx="44">
                  <c:v>1.2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1.2</c:v>
                </c:pt>
                <c:pt idx="50">
                  <c:v>1.2</c:v>
                </c:pt>
                <c:pt idx="51">
                  <c:v>1.2</c:v>
                </c:pt>
                <c:pt idx="52">
                  <c:v>1.2</c:v>
                </c:pt>
                <c:pt idx="53">
                  <c:v>1.2</c:v>
                </c:pt>
                <c:pt idx="54">
                  <c:v>1.2</c:v>
                </c:pt>
                <c:pt idx="55">
                  <c:v>1.2</c:v>
                </c:pt>
                <c:pt idx="56">
                  <c:v>1.2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  <c:pt idx="60">
                  <c:v>1.2</c:v>
                </c:pt>
                <c:pt idx="61">
                  <c:v>1.2</c:v>
                </c:pt>
                <c:pt idx="62">
                  <c:v>1.2</c:v>
                </c:pt>
                <c:pt idx="63">
                  <c:v>1.2</c:v>
                </c:pt>
                <c:pt idx="64">
                  <c:v>1.2</c:v>
                </c:pt>
                <c:pt idx="65">
                  <c:v>1.2</c:v>
                </c:pt>
                <c:pt idx="66">
                  <c:v>1.2</c:v>
                </c:pt>
                <c:pt idx="67">
                  <c:v>1.2</c:v>
                </c:pt>
                <c:pt idx="68">
                  <c:v>1.2</c:v>
                </c:pt>
                <c:pt idx="69">
                  <c:v>1.2</c:v>
                </c:pt>
                <c:pt idx="70">
                  <c:v>1.2</c:v>
                </c:pt>
                <c:pt idx="71">
                  <c:v>1.2</c:v>
                </c:pt>
                <c:pt idx="72">
                  <c:v>1.2</c:v>
                </c:pt>
                <c:pt idx="73">
                  <c:v>1.2</c:v>
                </c:pt>
                <c:pt idx="74">
                  <c:v>1.2</c:v>
                </c:pt>
                <c:pt idx="75">
                  <c:v>1.2</c:v>
                </c:pt>
                <c:pt idx="76">
                  <c:v>1.2</c:v>
                </c:pt>
                <c:pt idx="77">
                  <c:v>1.2</c:v>
                </c:pt>
                <c:pt idx="78">
                  <c:v>1.2</c:v>
                </c:pt>
                <c:pt idx="79">
                  <c:v>1.2</c:v>
                </c:pt>
                <c:pt idx="80">
                  <c:v>1.2</c:v>
                </c:pt>
                <c:pt idx="81">
                  <c:v>1.2</c:v>
                </c:pt>
                <c:pt idx="82">
                  <c:v>1.2</c:v>
                </c:pt>
                <c:pt idx="83">
                  <c:v>1.2</c:v>
                </c:pt>
                <c:pt idx="84">
                  <c:v>1.2</c:v>
                </c:pt>
                <c:pt idx="85">
                  <c:v>1.2</c:v>
                </c:pt>
                <c:pt idx="86">
                  <c:v>1.2</c:v>
                </c:pt>
                <c:pt idx="87">
                  <c:v>1.2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'弦圧データ'!$O$1</c:f>
              <c:strCache>
                <c:ptCount val="1"/>
                <c:pt idx="0">
                  <c:v>MAX 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'弦圧データ'!$B$2:$B$89</c:f>
              <c:numCache>
                <c:ptCount val="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</c:numCache>
            </c:numRef>
          </c:xVal>
          <c:yVal>
            <c:numRef>
              <c:f>'弦圧データ'!$O$2:$O$89</c:f>
              <c:numCache>
                <c:ptCount val="88"/>
                <c:pt idx="0">
                  <c:v>2.2</c:v>
                </c:pt>
                <c:pt idx="1">
                  <c:v>2.2</c:v>
                </c:pt>
                <c:pt idx="2">
                  <c:v>2.2</c:v>
                </c:pt>
                <c:pt idx="3">
                  <c:v>2.2</c:v>
                </c:pt>
                <c:pt idx="4">
                  <c:v>2.2</c:v>
                </c:pt>
                <c:pt idx="5">
                  <c:v>2.2</c:v>
                </c:pt>
                <c:pt idx="6">
                  <c:v>2.2</c:v>
                </c:pt>
                <c:pt idx="7">
                  <c:v>2.2</c:v>
                </c:pt>
                <c:pt idx="8">
                  <c:v>2.2</c:v>
                </c:pt>
                <c:pt idx="9">
                  <c:v>2.2</c:v>
                </c:pt>
                <c:pt idx="10">
                  <c:v>2.2</c:v>
                </c:pt>
                <c:pt idx="11">
                  <c:v>2.2</c:v>
                </c:pt>
                <c:pt idx="12">
                  <c:v>2.2</c:v>
                </c:pt>
                <c:pt idx="13">
                  <c:v>2.2</c:v>
                </c:pt>
                <c:pt idx="14">
                  <c:v>2.2</c:v>
                </c:pt>
                <c:pt idx="15">
                  <c:v>2.2</c:v>
                </c:pt>
                <c:pt idx="16">
                  <c:v>2.2</c:v>
                </c:pt>
                <c:pt idx="17">
                  <c:v>2.2</c:v>
                </c:pt>
                <c:pt idx="18">
                  <c:v>2.2</c:v>
                </c:pt>
                <c:pt idx="19">
                  <c:v>2.2</c:v>
                </c:pt>
                <c:pt idx="20">
                  <c:v>2.2</c:v>
                </c:pt>
                <c:pt idx="21">
                  <c:v>2.2</c:v>
                </c:pt>
                <c:pt idx="22">
                  <c:v>2.2</c:v>
                </c:pt>
                <c:pt idx="23">
                  <c:v>2.2</c:v>
                </c:pt>
                <c:pt idx="24">
                  <c:v>2.2</c:v>
                </c:pt>
                <c:pt idx="25">
                  <c:v>2.2</c:v>
                </c:pt>
                <c:pt idx="26">
                  <c:v>2.2</c:v>
                </c:pt>
                <c:pt idx="27">
                  <c:v>2.2</c:v>
                </c:pt>
                <c:pt idx="28">
                  <c:v>2.2</c:v>
                </c:pt>
                <c:pt idx="29">
                  <c:v>2.2</c:v>
                </c:pt>
                <c:pt idx="30">
                  <c:v>2.2</c:v>
                </c:pt>
                <c:pt idx="31">
                  <c:v>2.2</c:v>
                </c:pt>
                <c:pt idx="32">
                  <c:v>2.2</c:v>
                </c:pt>
                <c:pt idx="33">
                  <c:v>2.2</c:v>
                </c:pt>
                <c:pt idx="34">
                  <c:v>2.2</c:v>
                </c:pt>
                <c:pt idx="35">
                  <c:v>2.2</c:v>
                </c:pt>
                <c:pt idx="36">
                  <c:v>2.2</c:v>
                </c:pt>
                <c:pt idx="37">
                  <c:v>2.2</c:v>
                </c:pt>
                <c:pt idx="38">
                  <c:v>2.2</c:v>
                </c:pt>
                <c:pt idx="39">
                  <c:v>2.2</c:v>
                </c:pt>
                <c:pt idx="40">
                  <c:v>2.2</c:v>
                </c:pt>
                <c:pt idx="41">
                  <c:v>2.2</c:v>
                </c:pt>
                <c:pt idx="42">
                  <c:v>2.2</c:v>
                </c:pt>
                <c:pt idx="43">
                  <c:v>2.2</c:v>
                </c:pt>
                <c:pt idx="44">
                  <c:v>2.2</c:v>
                </c:pt>
                <c:pt idx="45">
                  <c:v>2.2</c:v>
                </c:pt>
                <c:pt idx="46">
                  <c:v>2.2</c:v>
                </c:pt>
                <c:pt idx="47">
                  <c:v>2.2</c:v>
                </c:pt>
                <c:pt idx="48">
                  <c:v>2.2</c:v>
                </c:pt>
                <c:pt idx="49">
                  <c:v>2.2</c:v>
                </c:pt>
                <c:pt idx="50">
                  <c:v>2.2</c:v>
                </c:pt>
                <c:pt idx="51">
                  <c:v>2.2</c:v>
                </c:pt>
                <c:pt idx="52">
                  <c:v>2.2</c:v>
                </c:pt>
                <c:pt idx="53">
                  <c:v>2.2</c:v>
                </c:pt>
                <c:pt idx="54">
                  <c:v>2.2</c:v>
                </c:pt>
                <c:pt idx="55">
                  <c:v>2.2</c:v>
                </c:pt>
                <c:pt idx="56">
                  <c:v>2.2</c:v>
                </c:pt>
                <c:pt idx="57">
                  <c:v>2.2</c:v>
                </c:pt>
                <c:pt idx="58">
                  <c:v>2.2</c:v>
                </c:pt>
                <c:pt idx="59">
                  <c:v>2.2</c:v>
                </c:pt>
                <c:pt idx="60">
                  <c:v>2.2</c:v>
                </c:pt>
                <c:pt idx="61">
                  <c:v>2.2</c:v>
                </c:pt>
                <c:pt idx="62">
                  <c:v>2.2</c:v>
                </c:pt>
                <c:pt idx="63">
                  <c:v>2.2</c:v>
                </c:pt>
                <c:pt idx="64">
                  <c:v>2.2</c:v>
                </c:pt>
                <c:pt idx="65">
                  <c:v>2.2</c:v>
                </c:pt>
                <c:pt idx="66">
                  <c:v>2.2</c:v>
                </c:pt>
                <c:pt idx="67">
                  <c:v>2.2</c:v>
                </c:pt>
                <c:pt idx="68">
                  <c:v>2.2</c:v>
                </c:pt>
                <c:pt idx="69">
                  <c:v>2.2</c:v>
                </c:pt>
                <c:pt idx="70">
                  <c:v>2.2</c:v>
                </c:pt>
                <c:pt idx="71">
                  <c:v>2.2</c:v>
                </c:pt>
                <c:pt idx="72">
                  <c:v>2.2</c:v>
                </c:pt>
                <c:pt idx="73">
                  <c:v>2.2</c:v>
                </c:pt>
                <c:pt idx="74">
                  <c:v>2.2</c:v>
                </c:pt>
                <c:pt idx="75">
                  <c:v>2.2</c:v>
                </c:pt>
                <c:pt idx="76">
                  <c:v>2.2</c:v>
                </c:pt>
                <c:pt idx="77">
                  <c:v>2.2</c:v>
                </c:pt>
                <c:pt idx="78">
                  <c:v>2.2</c:v>
                </c:pt>
                <c:pt idx="79">
                  <c:v>2.2</c:v>
                </c:pt>
                <c:pt idx="80">
                  <c:v>2.2</c:v>
                </c:pt>
                <c:pt idx="81">
                  <c:v>2.2</c:v>
                </c:pt>
                <c:pt idx="82">
                  <c:v>2.2</c:v>
                </c:pt>
                <c:pt idx="83">
                  <c:v>2.2</c:v>
                </c:pt>
                <c:pt idx="84">
                  <c:v>2.2</c:v>
                </c:pt>
                <c:pt idx="85">
                  <c:v>2.2</c:v>
                </c:pt>
                <c:pt idx="86">
                  <c:v>2.2</c:v>
                </c:pt>
                <c:pt idx="87">
                  <c:v>2.2</c:v>
                </c:pt>
              </c:numCache>
            </c:numRef>
          </c:yVal>
          <c:smooth val="0"/>
        </c:ser>
        <c:axId val="55448199"/>
        <c:axId val="29271744"/>
      </c:scatterChart>
      <c:valAx>
        <c:axId val="55448199"/>
        <c:scaling>
          <c:orientation val="minMax"/>
          <c:max val="8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鍵盤NO.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9271744"/>
        <c:crossesAt val="-3"/>
        <c:crossBetween val="midCat"/>
        <c:dispUnits/>
        <c:minorUnit val="1"/>
      </c:valAx>
      <c:valAx>
        <c:axId val="29271744"/>
        <c:scaling>
          <c:orientation val="minMax"/>
          <c:max val="8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弦圧（ｋｇ）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55448199"/>
        <c:crosses val="autoZero"/>
        <c:crossBetween val="midCat"/>
        <c:dispUnits/>
        <c:minorUnit val="1"/>
      </c:valAx>
    </c:plotArea>
    <c:legend>
      <c:legendPos val="t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9151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19</xdr:col>
      <xdr:colOff>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858250" y="304800"/>
          <a:ext cx="695325" cy="5429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467600" y="304800"/>
          <a:ext cx="695325" cy="5429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9553575" y="304800"/>
          <a:ext cx="942975" cy="542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75" zoomScaleNormal="75" workbookViewId="0" topLeftCell="A1">
      <selection activeCell="I38" sqref="I38"/>
    </sheetView>
  </sheetViews>
  <sheetFormatPr defaultColWidth="9.140625" defaultRowHeight="12"/>
  <cols>
    <col min="1" max="1" width="8.421875" style="121" bestFit="1" customWidth="1"/>
    <col min="2" max="2" width="46.8515625" style="121" customWidth="1"/>
    <col min="3" max="16384" width="8.421875" style="121" bestFit="1" customWidth="1"/>
  </cols>
  <sheetData>
    <row r="1" spans="1:2" ht="13.5">
      <c r="A1" s="124" t="s">
        <v>0</v>
      </c>
      <c r="B1" s="16">
        <v>38906</v>
      </c>
    </row>
    <row r="2" spans="1:2" ht="13.5">
      <c r="A2" s="125" t="s">
        <v>1</v>
      </c>
      <c r="B2" s="17" t="s">
        <v>2</v>
      </c>
    </row>
    <row r="3" spans="1:2" ht="13.5">
      <c r="A3" s="126" t="s">
        <v>3</v>
      </c>
      <c r="B3" s="18">
        <v>221550</v>
      </c>
    </row>
    <row r="4" spans="1:2" ht="13.5">
      <c r="A4" s="127" t="s">
        <v>4</v>
      </c>
      <c r="B4" s="19" t="s">
        <v>5</v>
      </c>
    </row>
    <row r="5" spans="1:2" ht="13.5">
      <c r="A5" s="126" t="s">
        <v>6</v>
      </c>
      <c r="B5" s="20" t="s">
        <v>7</v>
      </c>
    </row>
    <row r="6" spans="1:2" ht="14.25">
      <c r="A6" s="128" t="s">
        <v>8</v>
      </c>
      <c r="B6" s="21" t="s">
        <v>9</v>
      </c>
    </row>
    <row r="7" spans="1:2" ht="14.25">
      <c r="A7" s="129"/>
      <c r="B7" s="22" t="s">
        <v>9</v>
      </c>
    </row>
    <row r="8" spans="1:2" ht="14.25">
      <c r="A8" s="130"/>
      <c r="B8" s="23" t="s">
        <v>9</v>
      </c>
    </row>
    <row r="9" ht="13.5">
      <c r="B9" s="131"/>
    </row>
  </sheetData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75" zoomScaleNormal="75" workbookViewId="0" topLeftCell="A1">
      <selection activeCell="I43" sqref="I42:I43"/>
    </sheetView>
  </sheetViews>
  <sheetFormatPr defaultColWidth="9.140625" defaultRowHeight="12"/>
  <cols>
    <col min="1" max="1" width="16.140625" style="121" customWidth="1"/>
    <col min="2" max="2" width="12.140625" style="121" customWidth="1"/>
    <col min="3" max="3" width="14.8515625" style="121" customWidth="1"/>
    <col min="4" max="5" width="12.28125" style="121" customWidth="1"/>
    <col min="6" max="6" width="15.8515625" style="123" customWidth="1"/>
    <col min="7" max="7" width="10.28125" style="121" customWidth="1"/>
    <col min="8" max="16384" width="8.421875" style="121" bestFit="1" customWidth="1"/>
  </cols>
  <sheetData>
    <row r="1" spans="1:7" s="108" customFormat="1" ht="19.5" customHeight="1">
      <c r="A1" s="103" t="s">
        <v>10</v>
      </c>
      <c r="B1" s="70">
        <v>2.072</v>
      </c>
      <c r="C1" s="104" t="s">
        <v>11</v>
      </c>
      <c r="D1" s="71">
        <v>0.4</v>
      </c>
      <c r="E1" s="105"/>
      <c r="F1" s="106"/>
      <c r="G1" s="107"/>
    </row>
    <row r="2" spans="1:6" s="108" customFormat="1" ht="19.5" customHeight="1">
      <c r="A2" s="109" t="s">
        <v>12</v>
      </c>
      <c r="B2" s="9">
        <v>0.002</v>
      </c>
      <c r="C2" s="110" t="s">
        <v>13</v>
      </c>
      <c r="D2" s="72">
        <v>0.4</v>
      </c>
      <c r="E2" s="105"/>
      <c r="F2" s="106"/>
    </row>
    <row r="3" spans="1:7" s="108" customFormat="1" ht="19.5" customHeight="1">
      <c r="A3" s="109" t="s">
        <v>14</v>
      </c>
      <c r="B3" s="9">
        <v>2.06</v>
      </c>
      <c r="C3" s="110" t="s">
        <v>15</v>
      </c>
      <c r="D3" s="72">
        <v>0.4</v>
      </c>
      <c r="E3" s="105">
        <v>1.994</v>
      </c>
      <c r="F3" s="106"/>
      <c r="G3" s="111"/>
    </row>
    <row r="4" spans="1:6" s="108" customFormat="1" ht="19.5" customHeight="1" thickBot="1">
      <c r="A4" s="112" t="s">
        <v>16</v>
      </c>
      <c r="B4" s="73">
        <v>2.012</v>
      </c>
      <c r="C4" s="113" t="s">
        <v>17</v>
      </c>
      <c r="D4" s="74">
        <v>1</v>
      </c>
      <c r="E4" s="105">
        <v>0</v>
      </c>
      <c r="F4" s="106"/>
    </row>
    <row r="5" s="108" customFormat="1" ht="19.5" customHeight="1" thickBot="1">
      <c r="F5" s="106"/>
    </row>
    <row r="6" spans="1:7" s="108" customFormat="1" ht="19.5" customHeight="1" thickBot="1">
      <c r="A6" s="76" t="s">
        <v>129</v>
      </c>
      <c r="B6" s="114"/>
      <c r="C6" s="75">
        <v>1.2</v>
      </c>
      <c r="D6" s="115" t="s">
        <v>130</v>
      </c>
      <c r="F6" s="116"/>
      <c r="G6" s="117"/>
    </row>
    <row r="7" spans="1:7" s="108" customFormat="1" ht="19.5" customHeight="1">
      <c r="A7" s="47"/>
      <c r="B7" s="118"/>
      <c r="C7" s="119"/>
      <c r="F7" s="116"/>
      <c r="G7" s="120"/>
    </row>
    <row r="8" spans="3:7" ht="14.25">
      <c r="C8" s="122"/>
      <c r="F8" s="106"/>
      <c r="G8" s="107"/>
    </row>
    <row r="9" spans="6:7" ht="14.25">
      <c r="F9" s="106"/>
      <c r="G9" s="111"/>
    </row>
    <row r="10" spans="6:7" ht="14.25">
      <c r="F10" s="106"/>
      <c r="G10" s="107"/>
    </row>
    <row r="11" spans="6:7" ht="14.25">
      <c r="F11" s="106"/>
      <c r="G11" s="111"/>
    </row>
    <row r="12" spans="6:7" ht="14.25">
      <c r="F12" s="106"/>
      <c r="G12" s="111"/>
    </row>
    <row r="13" spans="6:7" ht="14.25">
      <c r="F13" s="106"/>
      <c r="G13" s="108"/>
    </row>
  </sheetData>
  <mergeCells count="1">
    <mergeCell ref="A6:B6"/>
  </mergeCells>
  <dataValidations count="1">
    <dataValidation allowBlank="1" showInputMessage="1" showErrorMessage="1" imeMode="off" sqref="C6"/>
  </dataValidations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7"/>
  <sheetViews>
    <sheetView zoomScale="75" zoomScaleNormal="75" workbookViewId="0" topLeftCell="A1">
      <selection activeCell="A6" sqref="A6:IV6"/>
    </sheetView>
  </sheetViews>
  <sheetFormatPr defaultColWidth="9.140625" defaultRowHeight="12"/>
  <cols>
    <col min="1" max="1" width="13.140625" style="25" customWidth="1"/>
    <col min="2" max="90" width="6.00390625" style="25" customWidth="1"/>
    <col min="91" max="92" width="2.57421875" style="25" customWidth="1"/>
    <col min="93" max="16384" width="9.00390625" style="25" bestFit="1" customWidth="1"/>
  </cols>
  <sheetData>
    <row r="1" spans="1:89" s="33" customFormat="1" ht="13.5">
      <c r="A1" s="34" t="s">
        <v>124</v>
      </c>
      <c r="B1" s="35">
        <v>1</v>
      </c>
      <c r="C1" s="35">
        <v>2</v>
      </c>
      <c r="D1" s="35">
        <v>3</v>
      </c>
      <c r="E1" s="35">
        <v>4</v>
      </c>
      <c r="F1" s="35">
        <v>5</v>
      </c>
      <c r="G1" s="35">
        <v>6</v>
      </c>
      <c r="H1" s="35">
        <v>7</v>
      </c>
      <c r="I1" s="35">
        <v>8</v>
      </c>
      <c r="J1" s="35">
        <v>9</v>
      </c>
      <c r="K1" s="35">
        <v>10</v>
      </c>
      <c r="L1" s="35">
        <v>11</v>
      </c>
      <c r="M1" s="35">
        <v>12</v>
      </c>
      <c r="N1" s="35">
        <v>13</v>
      </c>
      <c r="O1" s="35">
        <v>14</v>
      </c>
      <c r="P1" s="35">
        <v>15</v>
      </c>
      <c r="Q1" s="35">
        <v>16</v>
      </c>
      <c r="R1" s="35">
        <v>17</v>
      </c>
      <c r="S1" s="35">
        <v>18</v>
      </c>
      <c r="T1" s="35">
        <v>19</v>
      </c>
      <c r="U1" s="35">
        <v>20</v>
      </c>
      <c r="V1" s="35">
        <v>21</v>
      </c>
      <c r="W1" s="35">
        <v>22</v>
      </c>
      <c r="X1" s="35">
        <v>23</v>
      </c>
      <c r="Y1" s="35">
        <v>24</v>
      </c>
      <c r="Z1" s="35">
        <v>25</v>
      </c>
      <c r="AA1" s="35">
        <v>26</v>
      </c>
      <c r="AB1" s="35">
        <v>27</v>
      </c>
      <c r="AC1" s="35">
        <v>28</v>
      </c>
      <c r="AD1" s="35">
        <v>29</v>
      </c>
      <c r="AE1" s="35">
        <v>30</v>
      </c>
      <c r="AF1" s="35">
        <v>31</v>
      </c>
      <c r="AG1" s="35">
        <v>32</v>
      </c>
      <c r="AH1" s="35">
        <v>33</v>
      </c>
      <c r="AI1" s="35">
        <v>34</v>
      </c>
      <c r="AJ1" s="35">
        <v>35</v>
      </c>
      <c r="AK1" s="35">
        <v>36</v>
      </c>
      <c r="AL1" s="35">
        <v>37</v>
      </c>
      <c r="AM1" s="35">
        <v>38</v>
      </c>
      <c r="AN1" s="35">
        <v>39</v>
      </c>
      <c r="AO1" s="35">
        <v>40</v>
      </c>
      <c r="AP1" s="35">
        <v>41</v>
      </c>
      <c r="AQ1" s="35">
        <v>42</v>
      </c>
      <c r="AR1" s="35">
        <v>43</v>
      </c>
      <c r="AS1" s="35">
        <v>44</v>
      </c>
      <c r="AT1" s="35">
        <v>45</v>
      </c>
      <c r="AU1" s="35">
        <v>46</v>
      </c>
      <c r="AV1" s="35">
        <v>47</v>
      </c>
      <c r="AW1" s="35">
        <v>48</v>
      </c>
      <c r="AX1" s="35">
        <v>49</v>
      </c>
      <c r="AY1" s="35">
        <v>50</v>
      </c>
      <c r="AZ1" s="35">
        <v>51</v>
      </c>
      <c r="BA1" s="35">
        <v>52</v>
      </c>
      <c r="BB1" s="35">
        <v>53</v>
      </c>
      <c r="BC1" s="35">
        <v>54</v>
      </c>
      <c r="BD1" s="35">
        <v>55</v>
      </c>
      <c r="BE1" s="35">
        <v>56</v>
      </c>
      <c r="BF1" s="35">
        <v>57</v>
      </c>
      <c r="BG1" s="35">
        <v>58</v>
      </c>
      <c r="BH1" s="35">
        <v>59</v>
      </c>
      <c r="BI1" s="35">
        <v>60</v>
      </c>
      <c r="BJ1" s="35">
        <v>61</v>
      </c>
      <c r="BK1" s="35">
        <v>62</v>
      </c>
      <c r="BL1" s="35">
        <v>63</v>
      </c>
      <c r="BM1" s="35">
        <v>64</v>
      </c>
      <c r="BN1" s="35">
        <v>65</v>
      </c>
      <c r="BO1" s="35">
        <v>66</v>
      </c>
      <c r="BP1" s="35">
        <v>67</v>
      </c>
      <c r="BQ1" s="35">
        <v>68</v>
      </c>
      <c r="BR1" s="35">
        <v>69</v>
      </c>
      <c r="BS1" s="35">
        <v>70</v>
      </c>
      <c r="BT1" s="35">
        <v>71</v>
      </c>
      <c r="BU1" s="35">
        <v>72</v>
      </c>
      <c r="BV1" s="35">
        <v>73</v>
      </c>
      <c r="BW1" s="35">
        <v>74</v>
      </c>
      <c r="BX1" s="35">
        <v>75</v>
      </c>
      <c r="BY1" s="35">
        <v>76</v>
      </c>
      <c r="BZ1" s="35">
        <v>77</v>
      </c>
      <c r="CA1" s="35">
        <v>78</v>
      </c>
      <c r="CB1" s="35">
        <v>79</v>
      </c>
      <c r="CC1" s="35">
        <v>80</v>
      </c>
      <c r="CD1" s="35">
        <v>81</v>
      </c>
      <c r="CE1" s="35">
        <v>82</v>
      </c>
      <c r="CF1" s="35">
        <v>83</v>
      </c>
      <c r="CG1" s="35">
        <v>84</v>
      </c>
      <c r="CH1" s="35">
        <v>85</v>
      </c>
      <c r="CI1" s="35">
        <v>86</v>
      </c>
      <c r="CJ1" s="35">
        <v>87</v>
      </c>
      <c r="CK1" s="36">
        <v>88</v>
      </c>
    </row>
    <row r="2" spans="1:89" ht="27" customHeight="1">
      <c r="A2" s="37" t="s">
        <v>18</v>
      </c>
      <c r="B2" s="24" t="s">
        <v>19</v>
      </c>
      <c r="C2" s="24" t="s">
        <v>20</v>
      </c>
      <c r="D2" s="24" t="s">
        <v>21</v>
      </c>
      <c r="E2" s="24" t="s">
        <v>22</v>
      </c>
      <c r="F2" s="24" t="s">
        <v>23</v>
      </c>
      <c r="G2" s="24" t="s">
        <v>24</v>
      </c>
      <c r="H2" s="24" t="s">
        <v>25</v>
      </c>
      <c r="I2" s="24" t="s">
        <v>26</v>
      </c>
      <c r="J2" s="24" t="s">
        <v>27</v>
      </c>
      <c r="K2" s="24" t="s">
        <v>28</v>
      </c>
      <c r="L2" s="24" t="s">
        <v>29</v>
      </c>
      <c r="M2" s="24" t="s">
        <v>30</v>
      </c>
      <c r="N2" s="24" t="s">
        <v>31</v>
      </c>
      <c r="O2" s="24" t="s">
        <v>32</v>
      </c>
      <c r="P2" s="24" t="s">
        <v>33</v>
      </c>
      <c r="Q2" s="24" t="s">
        <v>34</v>
      </c>
      <c r="R2" s="24" t="s">
        <v>35</v>
      </c>
      <c r="S2" s="24" t="s">
        <v>36</v>
      </c>
      <c r="T2" s="24" t="s">
        <v>37</v>
      </c>
      <c r="U2" s="24" t="s">
        <v>38</v>
      </c>
      <c r="V2" s="24" t="s">
        <v>39</v>
      </c>
      <c r="W2" s="24" t="s">
        <v>40</v>
      </c>
      <c r="X2" s="24" t="s">
        <v>41</v>
      </c>
      <c r="Y2" s="24" t="s">
        <v>42</v>
      </c>
      <c r="Z2" s="24" t="s">
        <v>43</v>
      </c>
      <c r="AA2" s="24" t="s">
        <v>44</v>
      </c>
      <c r="AB2" s="24" t="s">
        <v>45</v>
      </c>
      <c r="AC2" s="24" t="s">
        <v>46</v>
      </c>
      <c r="AD2" s="24" t="s">
        <v>47</v>
      </c>
      <c r="AE2" s="24" t="s">
        <v>48</v>
      </c>
      <c r="AF2" s="24" t="s">
        <v>49</v>
      </c>
      <c r="AG2" s="24" t="s">
        <v>50</v>
      </c>
      <c r="AH2" s="24" t="s">
        <v>51</v>
      </c>
      <c r="AI2" s="24" t="s">
        <v>52</v>
      </c>
      <c r="AJ2" s="24" t="s">
        <v>53</v>
      </c>
      <c r="AK2" s="24" t="s">
        <v>54</v>
      </c>
      <c r="AL2" s="24" t="s">
        <v>55</v>
      </c>
      <c r="AM2" s="24" t="s">
        <v>56</v>
      </c>
      <c r="AN2" s="24" t="s">
        <v>57</v>
      </c>
      <c r="AO2" s="24" t="s">
        <v>58</v>
      </c>
      <c r="AP2" s="24" t="s">
        <v>59</v>
      </c>
      <c r="AQ2" s="24" t="s">
        <v>60</v>
      </c>
      <c r="AR2" s="24" t="s">
        <v>61</v>
      </c>
      <c r="AS2" s="24" t="s">
        <v>62</v>
      </c>
      <c r="AT2" s="24" t="s">
        <v>63</v>
      </c>
      <c r="AU2" s="24" t="s">
        <v>64</v>
      </c>
      <c r="AV2" s="24" t="s">
        <v>65</v>
      </c>
      <c r="AW2" s="24" t="s">
        <v>66</v>
      </c>
      <c r="AX2" s="24" t="s">
        <v>67</v>
      </c>
      <c r="AY2" s="24" t="s">
        <v>68</v>
      </c>
      <c r="AZ2" s="24" t="s">
        <v>69</v>
      </c>
      <c r="BA2" s="24" t="s">
        <v>70</v>
      </c>
      <c r="BB2" s="24" t="s">
        <v>71</v>
      </c>
      <c r="BC2" s="24" t="s">
        <v>72</v>
      </c>
      <c r="BD2" s="24" t="s">
        <v>73</v>
      </c>
      <c r="BE2" s="24" t="s">
        <v>74</v>
      </c>
      <c r="BF2" s="24" t="s">
        <v>75</v>
      </c>
      <c r="BG2" s="24" t="s">
        <v>76</v>
      </c>
      <c r="BH2" s="24" t="s">
        <v>77</v>
      </c>
      <c r="BI2" s="24" t="s">
        <v>78</v>
      </c>
      <c r="BJ2" s="24" t="s">
        <v>79</v>
      </c>
      <c r="BK2" s="24" t="s">
        <v>80</v>
      </c>
      <c r="BL2" s="24" t="s">
        <v>81</v>
      </c>
      <c r="BM2" s="24" t="s">
        <v>82</v>
      </c>
      <c r="BN2" s="24" t="s">
        <v>83</v>
      </c>
      <c r="BO2" s="24" t="s">
        <v>84</v>
      </c>
      <c r="BP2" s="24" t="s">
        <v>85</v>
      </c>
      <c r="BQ2" s="24" t="s">
        <v>86</v>
      </c>
      <c r="BR2" s="24" t="s">
        <v>87</v>
      </c>
      <c r="BS2" s="24" t="s">
        <v>88</v>
      </c>
      <c r="BT2" s="24" t="s">
        <v>89</v>
      </c>
      <c r="BU2" s="24" t="s">
        <v>90</v>
      </c>
      <c r="BV2" s="24" t="s">
        <v>91</v>
      </c>
      <c r="BW2" s="24" t="s">
        <v>92</v>
      </c>
      <c r="BX2" s="24" t="s">
        <v>93</v>
      </c>
      <c r="BY2" s="24" t="s">
        <v>94</v>
      </c>
      <c r="BZ2" s="24" t="s">
        <v>95</v>
      </c>
      <c r="CA2" s="24" t="s">
        <v>96</v>
      </c>
      <c r="CB2" s="24" t="s">
        <v>97</v>
      </c>
      <c r="CC2" s="24" t="s">
        <v>98</v>
      </c>
      <c r="CD2" s="24" t="s">
        <v>99</v>
      </c>
      <c r="CE2" s="24" t="s">
        <v>100</v>
      </c>
      <c r="CF2" s="24" t="s">
        <v>101</v>
      </c>
      <c r="CG2" s="24" t="s">
        <v>102</v>
      </c>
      <c r="CH2" s="24" t="s">
        <v>103</v>
      </c>
      <c r="CI2" s="24" t="s">
        <v>104</v>
      </c>
      <c r="CJ2" s="24" t="s">
        <v>105</v>
      </c>
      <c r="CK2" s="38" t="s">
        <v>106</v>
      </c>
    </row>
    <row r="3" spans="1:98" ht="13.5">
      <c r="A3" s="39" t="s">
        <v>107</v>
      </c>
      <c r="B3" s="29">
        <v>4.096</v>
      </c>
      <c r="C3" s="29">
        <v>4.096</v>
      </c>
      <c r="D3" s="29">
        <v>4.096</v>
      </c>
      <c r="E3" s="29">
        <v>4.096</v>
      </c>
      <c r="F3" s="29">
        <v>4.096</v>
      </c>
      <c r="G3" s="29">
        <v>4.096</v>
      </c>
      <c r="H3" s="29">
        <v>4.096</v>
      </c>
      <c r="I3" s="29">
        <v>4.096</v>
      </c>
      <c r="J3" s="29">
        <v>4.096</v>
      </c>
      <c r="K3" s="29">
        <v>4.096</v>
      </c>
      <c r="L3" s="29">
        <v>4.096</v>
      </c>
      <c r="M3" s="29">
        <v>4.096</v>
      </c>
      <c r="N3" s="29">
        <v>4.096</v>
      </c>
      <c r="O3" s="29">
        <v>4.096</v>
      </c>
      <c r="P3" s="29">
        <v>4.096</v>
      </c>
      <c r="Q3" s="29">
        <v>4.096</v>
      </c>
      <c r="R3" s="29">
        <v>4.096</v>
      </c>
      <c r="S3" s="29">
        <v>4.096</v>
      </c>
      <c r="T3" s="29">
        <v>4.096</v>
      </c>
      <c r="U3" s="29">
        <v>4.096</v>
      </c>
      <c r="V3" s="29">
        <v>4.096</v>
      </c>
      <c r="W3" s="29">
        <v>4.096</v>
      </c>
      <c r="X3" s="29">
        <v>4.096</v>
      </c>
      <c r="Y3" s="29">
        <v>4.096</v>
      </c>
      <c r="Z3" s="29">
        <v>4.096</v>
      </c>
      <c r="AA3" s="29">
        <v>4.096</v>
      </c>
      <c r="AB3" s="29">
        <v>4.096</v>
      </c>
      <c r="AC3" s="29">
        <v>4.096</v>
      </c>
      <c r="AD3" s="29">
        <v>4.096</v>
      </c>
      <c r="AE3" s="29">
        <v>4.096</v>
      </c>
      <c r="AF3" s="29">
        <v>4.096</v>
      </c>
      <c r="AG3" s="29">
        <v>4.096</v>
      </c>
      <c r="AH3" s="29">
        <v>4.096</v>
      </c>
      <c r="AI3" s="29">
        <v>4.096</v>
      </c>
      <c r="AJ3" s="29">
        <v>4.096</v>
      </c>
      <c r="AK3" s="29">
        <v>4.096</v>
      </c>
      <c r="AL3" s="29">
        <v>4.096</v>
      </c>
      <c r="AM3" s="29">
        <v>4.096</v>
      </c>
      <c r="AN3" s="29">
        <v>4.096</v>
      </c>
      <c r="AO3" s="29">
        <v>4.096</v>
      </c>
      <c r="AP3" s="29">
        <v>4.096</v>
      </c>
      <c r="AQ3" s="29">
        <v>4.096</v>
      </c>
      <c r="AR3" s="29">
        <v>4.096</v>
      </c>
      <c r="AS3" s="29">
        <v>4.096</v>
      </c>
      <c r="AT3" s="29">
        <v>4.096</v>
      </c>
      <c r="AU3" s="29">
        <v>4.096</v>
      </c>
      <c r="AV3" s="29">
        <v>4.096</v>
      </c>
      <c r="AW3" s="29">
        <v>4.096</v>
      </c>
      <c r="AX3" s="29">
        <v>4.096</v>
      </c>
      <c r="AY3" s="29">
        <v>4.096</v>
      </c>
      <c r="AZ3" s="29">
        <v>4.096</v>
      </c>
      <c r="BA3" s="29">
        <v>4.096</v>
      </c>
      <c r="BB3" s="29">
        <v>4.096</v>
      </c>
      <c r="BC3" s="29">
        <v>4.096</v>
      </c>
      <c r="BD3" s="29">
        <v>4.096</v>
      </c>
      <c r="BE3" s="29">
        <v>4.096</v>
      </c>
      <c r="BF3" s="29">
        <v>4.096</v>
      </c>
      <c r="BG3" s="29">
        <v>4.096</v>
      </c>
      <c r="BH3" s="29">
        <v>4.096</v>
      </c>
      <c r="BI3" s="29">
        <v>4.096</v>
      </c>
      <c r="BJ3" s="29">
        <v>4.096</v>
      </c>
      <c r="BK3" s="29">
        <v>4.096</v>
      </c>
      <c r="BL3" s="29">
        <v>4.096</v>
      </c>
      <c r="BM3" s="29">
        <v>4.096</v>
      </c>
      <c r="BN3" s="29">
        <v>4.096</v>
      </c>
      <c r="BO3" s="29">
        <v>4.096</v>
      </c>
      <c r="BP3" s="29">
        <v>4.096</v>
      </c>
      <c r="BQ3" s="29">
        <v>4.096</v>
      </c>
      <c r="BR3" s="29">
        <v>4.096</v>
      </c>
      <c r="BS3" s="29">
        <v>4.096</v>
      </c>
      <c r="BT3" s="29">
        <v>4.096</v>
      </c>
      <c r="BU3" s="29">
        <v>4.096</v>
      </c>
      <c r="BV3" s="29">
        <v>4.096</v>
      </c>
      <c r="BW3" s="29">
        <v>4.096</v>
      </c>
      <c r="BX3" s="29">
        <v>4.096</v>
      </c>
      <c r="BY3" s="29">
        <v>4.096</v>
      </c>
      <c r="BZ3" s="29">
        <v>4.096</v>
      </c>
      <c r="CA3" s="29">
        <v>4.096</v>
      </c>
      <c r="CB3" s="29">
        <v>4.096</v>
      </c>
      <c r="CC3" s="29">
        <v>4.096</v>
      </c>
      <c r="CD3" s="29">
        <v>4.096</v>
      </c>
      <c r="CE3" s="29">
        <v>4.096</v>
      </c>
      <c r="CF3" s="29">
        <v>4.096</v>
      </c>
      <c r="CG3" s="29">
        <v>4.096</v>
      </c>
      <c r="CH3" s="29">
        <v>4.096</v>
      </c>
      <c r="CI3" s="29">
        <v>4.096</v>
      </c>
      <c r="CJ3" s="29">
        <v>4.096</v>
      </c>
      <c r="CK3" s="40">
        <v>4.096</v>
      </c>
      <c r="CO3" s="26"/>
      <c r="CP3" s="26"/>
      <c r="CQ3" s="26"/>
      <c r="CR3" s="26"/>
      <c r="CS3" s="26"/>
      <c r="CT3" s="26"/>
    </row>
    <row r="4" spans="1:98" ht="13.5">
      <c r="A4" s="39" t="s">
        <v>108</v>
      </c>
      <c r="B4" s="28">
        <v>2.07</v>
      </c>
      <c r="C4" s="28">
        <v>2.07</v>
      </c>
      <c r="D4" s="28">
        <v>2.07</v>
      </c>
      <c r="E4" s="28">
        <v>2.07</v>
      </c>
      <c r="F4" s="28">
        <v>2.07</v>
      </c>
      <c r="G4" s="28">
        <v>2.07</v>
      </c>
      <c r="H4" s="28">
        <v>2.07</v>
      </c>
      <c r="I4" s="28">
        <v>2.07</v>
      </c>
      <c r="J4" s="28">
        <v>2.07</v>
      </c>
      <c r="K4" s="28">
        <v>2.07</v>
      </c>
      <c r="L4" s="28">
        <v>2.07</v>
      </c>
      <c r="M4" s="28">
        <v>2.07</v>
      </c>
      <c r="N4" s="28">
        <v>2.07</v>
      </c>
      <c r="O4" s="28">
        <v>2.07</v>
      </c>
      <c r="P4" s="28">
        <v>2.07</v>
      </c>
      <c r="Q4" s="28">
        <v>2.07</v>
      </c>
      <c r="R4" s="28">
        <v>2.07</v>
      </c>
      <c r="S4" s="28">
        <v>2.07</v>
      </c>
      <c r="T4" s="28">
        <v>2.07</v>
      </c>
      <c r="U4" s="28">
        <v>2.07</v>
      </c>
      <c r="V4" s="28">
        <v>2.07</v>
      </c>
      <c r="W4" s="28">
        <v>2.07</v>
      </c>
      <c r="X4" s="28">
        <v>2.07</v>
      </c>
      <c r="Y4" s="28">
        <v>2.07</v>
      </c>
      <c r="Z4" s="28">
        <v>2.07</v>
      </c>
      <c r="AA4" s="28">
        <v>2.07</v>
      </c>
      <c r="AB4" s="28">
        <v>2.07</v>
      </c>
      <c r="AC4" s="28">
        <v>2.07</v>
      </c>
      <c r="AD4" s="28">
        <v>2.07</v>
      </c>
      <c r="AE4" s="28">
        <v>2.07</v>
      </c>
      <c r="AF4" s="28">
        <v>2.07</v>
      </c>
      <c r="AG4" s="28">
        <v>2.07</v>
      </c>
      <c r="AH4" s="28">
        <v>2.07</v>
      </c>
      <c r="AI4" s="28">
        <v>2.07</v>
      </c>
      <c r="AJ4" s="28">
        <v>2.07</v>
      </c>
      <c r="AK4" s="28">
        <v>2.07</v>
      </c>
      <c r="AL4" s="28">
        <v>2.07</v>
      </c>
      <c r="AM4" s="28">
        <v>2.07</v>
      </c>
      <c r="AN4" s="28">
        <v>2.07</v>
      </c>
      <c r="AO4" s="28">
        <v>2.07</v>
      </c>
      <c r="AP4" s="28">
        <v>2.07</v>
      </c>
      <c r="AQ4" s="28">
        <v>2.07</v>
      </c>
      <c r="AR4" s="28">
        <v>2.07</v>
      </c>
      <c r="AS4" s="28">
        <v>2.07</v>
      </c>
      <c r="AT4" s="28">
        <v>2.07</v>
      </c>
      <c r="AU4" s="28">
        <v>2.07</v>
      </c>
      <c r="AV4" s="28">
        <v>2.07</v>
      </c>
      <c r="AW4" s="28">
        <v>2.07</v>
      </c>
      <c r="AX4" s="28">
        <v>2.07</v>
      </c>
      <c r="AY4" s="28">
        <v>2.07</v>
      </c>
      <c r="AZ4" s="28">
        <v>2.07</v>
      </c>
      <c r="BA4" s="28">
        <v>2.07</v>
      </c>
      <c r="BB4" s="28">
        <v>2.07</v>
      </c>
      <c r="BC4" s="28">
        <v>2.07</v>
      </c>
      <c r="BD4" s="28">
        <v>2.07</v>
      </c>
      <c r="BE4" s="28">
        <v>2.07</v>
      </c>
      <c r="BF4" s="28">
        <v>2.07</v>
      </c>
      <c r="BG4" s="28">
        <v>2.07</v>
      </c>
      <c r="BH4" s="28">
        <v>2.07</v>
      </c>
      <c r="BI4" s="28">
        <v>2.07</v>
      </c>
      <c r="BJ4" s="28">
        <v>2.07</v>
      </c>
      <c r="BK4" s="28">
        <v>2.07</v>
      </c>
      <c r="BL4" s="28">
        <v>2.07</v>
      </c>
      <c r="BM4" s="28">
        <v>2.07</v>
      </c>
      <c r="BN4" s="28">
        <v>2.07</v>
      </c>
      <c r="BO4" s="28">
        <v>2.07</v>
      </c>
      <c r="BP4" s="28">
        <v>2.07</v>
      </c>
      <c r="BQ4" s="28">
        <v>2.07</v>
      </c>
      <c r="BR4" s="28">
        <v>2.07</v>
      </c>
      <c r="BS4" s="28">
        <v>2.07</v>
      </c>
      <c r="BT4" s="28">
        <v>2.07</v>
      </c>
      <c r="BU4" s="28">
        <v>2.07</v>
      </c>
      <c r="BV4" s="28">
        <v>2.07</v>
      </c>
      <c r="BW4" s="28">
        <v>2.07</v>
      </c>
      <c r="BX4" s="28">
        <v>2.07</v>
      </c>
      <c r="BY4" s="28">
        <v>2.07</v>
      </c>
      <c r="BZ4" s="28">
        <v>2.07</v>
      </c>
      <c r="CA4" s="28">
        <v>2.07</v>
      </c>
      <c r="CB4" s="28">
        <v>2.07</v>
      </c>
      <c r="CC4" s="28">
        <v>2.07</v>
      </c>
      <c r="CD4" s="28">
        <v>2.07</v>
      </c>
      <c r="CE4" s="28">
        <v>2.07</v>
      </c>
      <c r="CF4" s="28">
        <v>2.07</v>
      </c>
      <c r="CG4" s="28">
        <v>2.07</v>
      </c>
      <c r="CH4" s="28">
        <v>2.07</v>
      </c>
      <c r="CI4" s="28">
        <v>2.07</v>
      </c>
      <c r="CJ4" s="28">
        <v>2.07</v>
      </c>
      <c r="CK4" s="41">
        <v>2.07</v>
      </c>
      <c r="CO4" s="26"/>
      <c r="CP4" s="26"/>
      <c r="CQ4" s="26"/>
      <c r="CR4" s="26"/>
      <c r="CS4" s="26"/>
      <c r="CT4" s="26"/>
    </row>
    <row r="5" spans="1:98" ht="13.5">
      <c r="A5" s="39" t="s">
        <v>109</v>
      </c>
      <c r="B5" s="32">
        <v>0.256</v>
      </c>
      <c r="C5" s="32">
        <v>0.256</v>
      </c>
      <c r="D5" s="29">
        <v>0.256</v>
      </c>
      <c r="E5" s="29">
        <v>0.256</v>
      </c>
      <c r="F5" s="29">
        <v>0.256</v>
      </c>
      <c r="G5" s="29">
        <v>0.256</v>
      </c>
      <c r="H5" s="29">
        <v>0.256</v>
      </c>
      <c r="I5" s="29">
        <v>0.256</v>
      </c>
      <c r="J5" s="29">
        <v>0.256</v>
      </c>
      <c r="K5" s="29">
        <v>0.252</v>
      </c>
      <c r="L5" s="29">
        <v>0.252</v>
      </c>
      <c r="M5" s="29">
        <v>0.256</v>
      </c>
      <c r="N5" s="29">
        <v>0.256</v>
      </c>
      <c r="O5" s="29">
        <v>0.252</v>
      </c>
      <c r="P5" s="29">
        <v>0.252</v>
      </c>
      <c r="Q5" s="29">
        <v>0.256</v>
      </c>
      <c r="R5" s="29">
        <v>0.256</v>
      </c>
      <c r="S5" s="29">
        <v>0.256</v>
      </c>
      <c r="T5" s="29">
        <v>0.256</v>
      </c>
      <c r="U5" s="29">
        <v>0.256</v>
      </c>
      <c r="V5" s="29">
        <v>0.256</v>
      </c>
      <c r="W5" s="29">
        <v>0.256</v>
      </c>
      <c r="X5" s="29">
        <v>0.256</v>
      </c>
      <c r="Y5" s="29">
        <v>0.256</v>
      </c>
      <c r="Z5" s="29">
        <v>0.256</v>
      </c>
      <c r="AA5" s="29">
        <v>0.256</v>
      </c>
      <c r="AB5" s="29">
        <v>0.256</v>
      </c>
      <c r="AC5" s="29">
        <v>0.256</v>
      </c>
      <c r="AD5" s="29">
        <v>0.256</v>
      </c>
      <c r="AE5" s="29">
        <v>0.256</v>
      </c>
      <c r="AF5" s="29">
        <v>0.256</v>
      </c>
      <c r="AG5" s="29">
        <v>0.256</v>
      </c>
      <c r="AH5" s="29">
        <v>0.256</v>
      </c>
      <c r="AI5" s="29">
        <v>0.256</v>
      </c>
      <c r="AJ5" s="29">
        <v>0.256</v>
      </c>
      <c r="AK5" s="29">
        <v>0.256</v>
      </c>
      <c r="AL5" s="29">
        <v>0.256</v>
      </c>
      <c r="AM5" s="29">
        <v>0.256</v>
      </c>
      <c r="AN5" s="29">
        <v>0.256</v>
      </c>
      <c r="AO5" s="29">
        <v>0.256</v>
      </c>
      <c r="AP5" s="29">
        <v>0.256</v>
      </c>
      <c r="AQ5" s="29">
        <v>0.256</v>
      </c>
      <c r="AR5" s="29">
        <v>0.256</v>
      </c>
      <c r="AS5" s="29">
        <v>0.256</v>
      </c>
      <c r="AT5" s="29">
        <v>0.256</v>
      </c>
      <c r="AU5" s="29">
        <v>0.256</v>
      </c>
      <c r="AV5" s="29">
        <v>0.256</v>
      </c>
      <c r="AW5" s="29">
        <v>0.256</v>
      </c>
      <c r="AX5" s="29">
        <v>0.256</v>
      </c>
      <c r="AY5" s="29">
        <v>0.256</v>
      </c>
      <c r="AZ5" s="29">
        <v>0.256</v>
      </c>
      <c r="BA5" s="29">
        <v>0.256</v>
      </c>
      <c r="BB5" s="29">
        <v>0.256</v>
      </c>
      <c r="BC5" s="29">
        <v>0.256</v>
      </c>
      <c r="BD5" s="29">
        <v>0.256</v>
      </c>
      <c r="BE5" s="29">
        <v>0.256</v>
      </c>
      <c r="BF5" s="29">
        <v>0.256</v>
      </c>
      <c r="BG5" s="29">
        <v>0.256</v>
      </c>
      <c r="BH5" s="29">
        <v>0.256</v>
      </c>
      <c r="BI5" s="29">
        <v>0.256</v>
      </c>
      <c r="BJ5" s="29">
        <v>0.256</v>
      </c>
      <c r="BK5" s="29">
        <v>0.256</v>
      </c>
      <c r="BL5" s="29">
        <v>0.256</v>
      </c>
      <c r="BM5" s="29">
        <v>0.256</v>
      </c>
      <c r="BN5" s="29">
        <v>0.256</v>
      </c>
      <c r="BO5" s="29">
        <v>0.256</v>
      </c>
      <c r="BP5" s="29">
        <v>0.256</v>
      </c>
      <c r="BQ5" s="29">
        <v>0.256</v>
      </c>
      <c r="BR5" s="29">
        <v>0.256</v>
      </c>
      <c r="BS5" s="29">
        <v>0.256</v>
      </c>
      <c r="BT5" s="29">
        <v>0.256</v>
      </c>
      <c r="BU5" s="29">
        <v>0.256</v>
      </c>
      <c r="BV5" s="29">
        <v>0.256</v>
      </c>
      <c r="BW5" s="29">
        <v>0.256</v>
      </c>
      <c r="BX5" s="29">
        <v>0.256</v>
      </c>
      <c r="BY5" s="29">
        <v>0.256</v>
      </c>
      <c r="BZ5" s="29">
        <v>0.256</v>
      </c>
      <c r="CA5" s="29">
        <v>0.256</v>
      </c>
      <c r="CB5" s="29">
        <v>0.256</v>
      </c>
      <c r="CC5" s="29">
        <v>0.256</v>
      </c>
      <c r="CD5" s="29">
        <v>0.256</v>
      </c>
      <c r="CE5" s="29">
        <v>0.256</v>
      </c>
      <c r="CF5" s="29">
        <v>0.256</v>
      </c>
      <c r="CG5" s="29">
        <v>0.256</v>
      </c>
      <c r="CH5" s="29">
        <v>0.256</v>
      </c>
      <c r="CI5" s="29">
        <v>0.252</v>
      </c>
      <c r="CJ5" s="29">
        <v>0.256</v>
      </c>
      <c r="CK5" s="40">
        <v>0.256</v>
      </c>
      <c r="CO5" s="26"/>
      <c r="CP5" s="26"/>
      <c r="CQ5" s="26"/>
      <c r="CR5" s="26"/>
      <c r="CS5" s="26"/>
      <c r="CT5" s="26"/>
    </row>
    <row r="6" spans="1:89" s="98" customFormat="1" ht="19.5" customHeight="1" thickBot="1">
      <c r="A6" s="95" t="s">
        <v>110</v>
      </c>
      <c r="B6" s="96">
        <f>'弦圧データ'!J2</f>
        <v>0.12000000000000671</v>
      </c>
      <c r="C6" s="96">
        <f>'弦圧データ'!J3</f>
        <v>0.12000000000000671</v>
      </c>
      <c r="D6" s="96">
        <f>'弦圧データ'!J4</f>
        <v>0.12000000000000671</v>
      </c>
      <c r="E6" s="96">
        <f>'弦圧データ'!J5</f>
        <v>0.12000000000000671</v>
      </c>
      <c r="F6" s="96">
        <f>'弦圧データ'!J6</f>
        <v>0.12000000000000671</v>
      </c>
      <c r="G6" s="96">
        <f>'弦圧データ'!J7</f>
        <v>0.12000000000000671</v>
      </c>
      <c r="H6" s="96">
        <f>'弦圧データ'!J8</f>
        <v>0.12000000000000671</v>
      </c>
      <c r="I6" s="96">
        <f>'弦圧データ'!J9</f>
        <v>0.12000000000000671</v>
      </c>
      <c r="J6" s="96">
        <f>'弦圧データ'!J10</f>
        <v>0.12000000000000671</v>
      </c>
      <c r="K6" s="96">
        <f>'弦圧データ'!J11</f>
        <v>0.12000000000000671</v>
      </c>
      <c r="L6" s="96">
        <f>'弦圧データ'!J12</f>
        <v>0.12000000000000671</v>
      </c>
      <c r="M6" s="96">
        <f>'弦圧データ'!J13</f>
        <v>0.12000000000000671</v>
      </c>
      <c r="N6" s="96">
        <f>'弦圧データ'!J14</f>
        <v>0.12000000000000671</v>
      </c>
      <c r="O6" s="96">
        <f>'弦圧データ'!J15</f>
        <v>0.12000000000000671</v>
      </c>
      <c r="P6" s="96">
        <f>'弦圧データ'!J16</f>
        <v>0.12000000000000671</v>
      </c>
      <c r="Q6" s="96">
        <f>'弦圧データ'!J17</f>
        <v>0.12000000000000671</v>
      </c>
      <c r="R6" s="96">
        <f>'弦圧データ'!J18</f>
        <v>0.12000000000000671</v>
      </c>
      <c r="S6" s="96">
        <f>'弦圧データ'!J19</f>
        <v>0.12000000000000671</v>
      </c>
      <c r="T6" s="96">
        <f>'弦圧データ'!J20</f>
        <v>0.12000000000000671</v>
      </c>
      <c r="U6" s="96">
        <f>'弦圧データ'!J21</f>
        <v>0.12000000000000671</v>
      </c>
      <c r="V6" s="96">
        <f>'弦圧データ'!J22</f>
        <v>0.12000000000000671</v>
      </c>
      <c r="W6" s="96">
        <f>'弦圧データ'!J23</f>
        <v>0.12000000000000671</v>
      </c>
      <c r="X6" s="96">
        <f>'弦圧データ'!J24</f>
        <v>0.12000000000000671</v>
      </c>
      <c r="Y6" s="96">
        <f>'弦圧データ'!J25</f>
        <v>0.12000000000000671</v>
      </c>
      <c r="Z6" s="96">
        <f>'弦圧データ'!J26</f>
        <v>0.12000000000000671</v>
      </c>
      <c r="AA6" s="96">
        <f>'弦圧データ'!J27</f>
        <v>0.12000000000000671</v>
      </c>
      <c r="AB6" s="96">
        <f>'弦圧データ'!J28</f>
        <v>0.12000000000000671</v>
      </c>
      <c r="AC6" s="96">
        <f>'弦圧データ'!J29</f>
        <v>0.12000000000000671</v>
      </c>
      <c r="AD6" s="96">
        <f>'弦圧データ'!J30</f>
        <v>0.12000000000000671</v>
      </c>
      <c r="AE6" s="96">
        <f>'弦圧データ'!J31</f>
        <v>0.12000000000000671</v>
      </c>
      <c r="AF6" s="96">
        <f>'弦圧データ'!J32</f>
        <v>0.12000000000000671</v>
      </c>
      <c r="AG6" s="96">
        <f>'弦圧データ'!J33</f>
        <v>0.12000000000000671</v>
      </c>
      <c r="AH6" s="96">
        <f>'弦圧データ'!J34</f>
        <v>0.12000000000000671</v>
      </c>
      <c r="AI6" s="96">
        <f>'弦圧データ'!J35</f>
        <v>0.12000000000000671</v>
      </c>
      <c r="AJ6" s="96">
        <f>'弦圧データ'!J36</f>
        <v>0.12000000000000671</v>
      </c>
      <c r="AK6" s="96">
        <f>'弦圧データ'!J37</f>
        <v>0.12000000000000671</v>
      </c>
      <c r="AL6" s="96">
        <f>'弦圧データ'!J38</f>
        <v>0.12000000000000671</v>
      </c>
      <c r="AM6" s="96">
        <f>'弦圧データ'!J39</f>
        <v>0.12000000000000671</v>
      </c>
      <c r="AN6" s="96">
        <f>'弦圧データ'!J40</f>
        <v>0.12000000000000671</v>
      </c>
      <c r="AO6" s="96">
        <f>'弦圧データ'!J41</f>
        <v>0.12000000000000671</v>
      </c>
      <c r="AP6" s="96">
        <f>'弦圧データ'!J42</f>
        <v>0.12000000000000671</v>
      </c>
      <c r="AQ6" s="96">
        <f>'弦圧データ'!J43</f>
        <v>0.12000000000000671</v>
      </c>
      <c r="AR6" s="96">
        <f>'弦圧データ'!J44</f>
        <v>0.12000000000000671</v>
      </c>
      <c r="AS6" s="96">
        <f>'弦圧データ'!J45</f>
        <v>0.12000000000000671</v>
      </c>
      <c r="AT6" s="96">
        <f>'弦圧データ'!J46</f>
        <v>0.12000000000000671</v>
      </c>
      <c r="AU6" s="96">
        <f>'弦圧データ'!J47</f>
        <v>0.12000000000000671</v>
      </c>
      <c r="AV6" s="96">
        <f>'弦圧データ'!J48</f>
        <v>0.12000000000000671</v>
      </c>
      <c r="AW6" s="96">
        <f>'弦圧データ'!J49</f>
        <v>0.12000000000000671</v>
      </c>
      <c r="AX6" s="96">
        <f>'弦圧データ'!J50</f>
        <v>0.12000000000000671</v>
      </c>
      <c r="AY6" s="96">
        <f>'弦圧データ'!J51</f>
        <v>0.12000000000000671</v>
      </c>
      <c r="AZ6" s="96">
        <f>'弦圧データ'!J52</f>
        <v>0.12000000000000671</v>
      </c>
      <c r="BA6" s="96">
        <f>'弦圧データ'!J53</f>
        <v>0.12000000000000671</v>
      </c>
      <c r="BB6" s="96">
        <f>'弦圧データ'!J54</f>
        <v>0.12000000000000671</v>
      </c>
      <c r="BC6" s="96">
        <f>'弦圧データ'!J55</f>
        <v>0.12000000000000671</v>
      </c>
      <c r="BD6" s="96">
        <f>'弦圧データ'!J56</f>
        <v>0.12000000000000671</v>
      </c>
      <c r="BE6" s="96">
        <f>'弦圧データ'!J57</f>
        <v>0.12000000000000671</v>
      </c>
      <c r="BF6" s="96">
        <f>'弦圧データ'!J58</f>
        <v>0.12000000000000671</v>
      </c>
      <c r="BG6" s="96">
        <f>'弦圧データ'!J59</f>
        <v>0.12000000000000671</v>
      </c>
      <c r="BH6" s="96">
        <f>'弦圧データ'!J60</f>
        <v>0.12000000000000671</v>
      </c>
      <c r="BI6" s="96">
        <f>'弦圧データ'!J61</f>
        <v>0.12000000000000671</v>
      </c>
      <c r="BJ6" s="96">
        <f>'弦圧データ'!J62</f>
        <v>0.12000000000000671</v>
      </c>
      <c r="BK6" s="96">
        <f>'弦圧データ'!J63</f>
        <v>0.12000000000000671</v>
      </c>
      <c r="BL6" s="96">
        <f>'弦圧データ'!J64</f>
        <v>0.12000000000000671</v>
      </c>
      <c r="BM6" s="96">
        <f>'弦圧データ'!J65</f>
        <v>0.12000000000000671</v>
      </c>
      <c r="BN6" s="96">
        <f>'弦圧データ'!J66</f>
        <v>0.12000000000000671</v>
      </c>
      <c r="BO6" s="96">
        <f>'弦圧データ'!J67</f>
        <v>0.12000000000000671</v>
      </c>
      <c r="BP6" s="96">
        <f>'弦圧データ'!J68</f>
        <v>0.12000000000000671</v>
      </c>
      <c r="BQ6" s="96">
        <f>'弦圧データ'!J69</f>
        <v>0.12000000000000671</v>
      </c>
      <c r="BR6" s="96">
        <f>'弦圧データ'!J70</f>
        <v>0.12000000000000671</v>
      </c>
      <c r="BS6" s="96">
        <f>'弦圧データ'!J71</f>
        <v>0.12000000000000671</v>
      </c>
      <c r="BT6" s="96">
        <f>'弦圧データ'!J72</f>
        <v>0.12000000000000671</v>
      </c>
      <c r="BU6" s="96">
        <f>'弦圧データ'!J73</f>
        <v>0.12000000000000671</v>
      </c>
      <c r="BV6" s="96">
        <f>'弦圧データ'!J74</f>
        <v>0.12000000000000671</v>
      </c>
      <c r="BW6" s="96">
        <f>'弦圧データ'!J75</f>
        <v>0.12000000000000671</v>
      </c>
      <c r="BX6" s="96">
        <f>'弦圧データ'!J76</f>
        <v>0.12000000000000671</v>
      </c>
      <c r="BY6" s="96">
        <f>'弦圧データ'!J77</f>
        <v>0.12000000000000671</v>
      </c>
      <c r="BZ6" s="96">
        <f>'弦圧データ'!J78</f>
        <v>0.12000000000000671</v>
      </c>
      <c r="CA6" s="96">
        <f>'弦圧データ'!J79</f>
        <v>0.12000000000000671</v>
      </c>
      <c r="CB6" s="96">
        <f>'弦圧データ'!J80</f>
        <v>0.12000000000000671</v>
      </c>
      <c r="CC6" s="96">
        <f>'弦圧データ'!J81</f>
        <v>0.12000000000000671</v>
      </c>
      <c r="CD6" s="96">
        <f>'弦圧データ'!J82</f>
        <v>0.12000000000000671</v>
      </c>
      <c r="CE6" s="96">
        <f>'弦圧データ'!J83</f>
        <v>0.12000000000000671</v>
      </c>
      <c r="CF6" s="96">
        <f>'弦圧データ'!J84</f>
        <v>0.12000000000000671</v>
      </c>
      <c r="CG6" s="96">
        <f>'弦圧データ'!J85</f>
        <v>0.12000000000000671</v>
      </c>
      <c r="CH6" s="96">
        <f>'弦圧データ'!J86</f>
        <v>0.12000000000000671</v>
      </c>
      <c r="CI6" s="96">
        <f>'弦圧データ'!J87</f>
        <v>0.12000000000000671</v>
      </c>
      <c r="CJ6" s="96">
        <f>'弦圧データ'!J88</f>
        <v>0.12000000000000671</v>
      </c>
      <c r="CK6" s="97">
        <f>'弦圧データ'!J89</f>
        <v>0.12000000000000671</v>
      </c>
    </row>
    <row r="7" spans="2:3" ht="13.5">
      <c r="B7" s="27"/>
      <c r="C7" s="27"/>
    </row>
  </sheetData>
  <sheetProtection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6"/>
  <sheetViews>
    <sheetView zoomScale="75" zoomScaleNormal="75" workbookViewId="0" topLeftCell="A1">
      <selection activeCell="A1" sqref="A1:IV2"/>
    </sheetView>
  </sheetViews>
  <sheetFormatPr defaultColWidth="9.140625" defaultRowHeight="12"/>
  <cols>
    <col min="1" max="1" width="13.140625" style="15" customWidth="1"/>
    <col min="2" max="91" width="6.00390625" style="15" customWidth="1"/>
    <col min="92" max="92" width="2.57421875" style="15" customWidth="1"/>
    <col min="93" max="16384" width="9.00390625" style="15" bestFit="1" customWidth="1"/>
  </cols>
  <sheetData>
    <row r="1" spans="1:89" s="33" customFormat="1" ht="13.5">
      <c r="A1" s="34" t="s">
        <v>124</v>
      </c>
      <c r="B1" s="35">
        <v>1</v>
      </c>
      <c r="C1" s="35">
        <v>2</v>
      </c>
      <c r="D1" s="35">
        <v>3</v>
      </c>
      <c r="E1" s="35">
        <v>4</v>
      </c>
      <c r="F1" s="35">
        <v>5</v>
      </c>
      <c r="G1" s="35">
        <v>6</v>
      </c>
      <c r="H1" s="35">
        <v>7</v>
      </c>
      <c r="I1" s="35">
        <v>8</v>
      </c>
      <c r="J1" s="35">
        <v>9</v>
      </c>
      <c r="K1" s="35">
        <v>10</v>
      </c>
      <c r="L1" s="35">
        <v>11</v>
      </c>
      <c r="M1" s="35">
        <v>12</v>
      </c>
      <c r="N1" s="35">
        <v>13</v>
      </c>
      <c r="O1" s="35">
        <v>14</v>
      </c>
      <c r="P1" s="35">
        <v>15</v>
      </c>
      <c r="Q1" s="35">
        <v>16</v>
      </c>
      <c r="R1" s="35">
        <v>17</v>
      </c>
      <c r="S1" s="35">
        <v>18</v>
      </c>
      <c r="T1" s="35">
        <v>19</v>
      </c>
      <c r="U1" s="35">
        <v>20</v>
      </c>
      <c r="V1" s="35">
        <v>21</v>
      </c>
      <c r="W1" s="35">
        <v>22</v>
      </c>
      <c r="X1" s="35">
        <v>23</v>
      </c>
      <c r="Y1" s="35">
        <v>24</v>
      </c>
      <c r="Z1" s="35">
        <v>25</v>
      </c>
      <c r="AA1" s="35">
        <v>26</v>
      </c>
      <c r="AB1" s="35">
        <v>27</v>
      </c>
      <c r="AC1" s="35">
        <v>28</v>
      </c>
      <c r="AD1" s="35">
        <v>29</v>
      </c>
      <c r="AE1" s="35">
        <v>30</v>
      </c>
      <c r="AF1" s="35">
        <v>31</v>
      </c>
      <c r="AG1" s="35">
        <v>32</v>
      </c>
      <c r="AH1" s="35">
        <v>33</v>
      </c>
      <c r="AI1" s="35">
        <v>34</v>
      </c>
      <c r="AJ1" s="35">
        <v>35</v>
      </c>
      <c r="AK1" s="35">
        <v>36</v>
      </c>
      <c r="AL1" s="35">
        <v>37</v>
      </c>
      <c r="AM1" s="35">
        <v>38</v>
      </c>
      <c r="AN1" s="35">
        <v>39</v>
      </c>
      <c r="AO1" s="35">
        <v>40</v>
      </c>
      <c r="AP1" s="35">
        <v>41</v>
      </c>
      <c r="AQ1" s="35">
        <v>42</v>
      </c>
      <c r="AR1" s="35">
        <v>43</v>
      </c>
      <c r="AS1" s="35">
        <v>44</v>
      </c>
      <c r="AT1" s="35">
        <v>45</v>
      </c>
      <c r="AU1" s="35">
        <v>46</v>
      </c>
      <c r="AV1" s="35">
        <v>47</v>
      </c>
      <c r="AW1" s="35">
        <v>48</v>
      </c>
      <c r="AX1" s="35">
        <v>49</v>
      </c>
      <c r="AY1" s="35">
        <v>50</v>
      </c>
      <c r="AZ1" s="35">
        <v>51</v>
      </c>
      <c r="BA1" s="35">
        <v>52</v>
      </c>
      <c r="BB1" s="35">
        <v>53</v>
      </c>
      <c r="BC1" s="35">
        <v>54</v>
      </c>
      <c r="BD1" s="35">
        <v>55</v>
      </c>
      <c r="BE1" s="35">
        <v>56</v>
      </c>
      <c r="BF1" s="35">
        <v>57</v>
      </c>
      <c r="BG1" s="35">
        <v>58</v>
      </c>
      <c r="BH1" s="35">
        <v>59</v>
      </c>
      <c r="BI1" s="35">
        <v>60</v>
      </c>
      <c r="BJ1" s="35">
        <v>61</v>
      </c>
      <c r="BK1" s="35">
        <v>62</v>
      </c>
      <c r="BL1" s="35">
        <v>63</v>
      </c>
      <c r="BM1" s="35">
        <v>64</v>
      </c>
      <c r="BN1" s="35">
        <v>65</v>
      </c>
      <c r="BO1" s="35">
        <v>66</v>
      </c>
      <c r="BP1" s="35">
        <v>67</v>
      </c>
      <c r="BQ1" s="35">
        <v>68</v>
      </c>
      <c r="BR1" s="35">
        <v>69</v>
      </c>
      <c r="BS1" s="35">
        <v>70</v>
      </c>
      <c r="BT1" s="35">
        <v>71</v>
      </c>
      <c r="BU1" s="35">
        <v>72</v>
      </c>
      <c r="BV1" s="35">
        <v>73</v>
      </c>
      <c r="BW1" s="35">
        <v>74</v>
      </c>
      <c r="BX1" s="35">
        <v>75</v>
      </c>
      <c r="BY1" s="35">
        <v>76</v>
      </c>
      <c r="BZ1" s="35">
        <v>77</v>
      </c>
      <c r="CA1" s="35">
        <v>78</v>
      </c>
      <c r="CB1" s="35">
        <v>79</v>
      </c>
      <c r="CC1" s="35">
        <v>80</v>
      </c>
      <c r="CD1" s="35">
        <v>81</v>
      </c>
      <c r="CE1" s="35">
        <v>82</v>
      </c>
      <c r="CF1" s="35">
        <v>83</v>
      </c>
      <c r="CG1" s="35">
        <v>84</v>
      </c>
      <c r="CH1" s="35">
        <v>85</v>
      </c>
      <c r="CI1" s="35">
        <v>86</v>
      </c>
      <c r="CJ1" s="35">
        <v>87</v>
      </c>
      <c r="CK1" s="36">
        <v>88</v>
      </c>
    </row>
    <row r="2" spans="1:89" s="25" customFormat="1" ht="27" customHeight="1">
      <c r="A2" s="37" t="s">
        <v>18</v>
      </c>
      <c r="B2" s="24" t="s">
        <v>19</v>
      </c>
      <c r="C2" s="24" t="s">
        <v>20</v>
      </c>
      <c r="D2" s="24" t="s">
        <v>21</v>
      </c>
      <c r="E2" s="24" t="s">
        <v>22</v>
      </c>
      <c r="F2" s="24" t="s">
        <v>23</v>
      </c>
      <c r="G2" s="24" t="s">
        <v>24</v>
      </c>
      <c r="H2" s="24" t="s">
        <v>25</v>
      </c>
      <c r="I2" s="24" t="s">
        <v>26</v>
      </c>
      <c r="J2" s="24" t="s">
        <v>27</v>
      </c>
      <c r="K2" s="24" t="s">
        <v>28</v>
      </c>
      <c r="L2" s="24" t="s">
        <v>29</v>
      </c>
      <c r="M2" s="24" t="s">
        <v>30</v>
      </c>
      <c r="N2" s="24" t="s">
        <v>31</v>
      </c>
      <c r="O2" s="24" t="s">
        <v>32</v>
      </c>
      <c r="P2" s="24" t="s">
        <v>33</v>
      </c>
      <c r="Q2" s="24" t="s">
        <v>34</v>
      </c>
      <c r="R2" s="24" t="s">
        <v>35</v>
      </c>
      <c r="S2" s="24" t="s">
        <v>36</v>
      </c>
      <c r="T2" s="24" t="s">
        <v>37</v>
      </c>
      <c r="U2" s="24" t="s">
        <v>38</v>
      </c>
      <c r="V2" s="24" t="s">
        <v>39</v>
      </c>
      <c r="W2" s="24" t="s">
        <v>40</v>
      </c>
      <c r="X2" s="24" t="s">
        <v>41</v>
      </c>
      <c r="Y2" s="24" t="s">
        <v>42</v>
      </c>
      <c r="Z2" s="24" t="s">
        <v>43</v>
      </c>
      <c r="AA2" s="24" t="s">
        <v>44</v>
      </c>
      <c r="AB2" s="24" t="s">
        <v>45</v>
      </c>
      <c r="AC2" s="24" t="s">
        <v>46</v>
      </c>
      <c r="AD2" s="24" t="s">
        <v>47</v>
      </c>
      <c r="AE2" s="24" t="s">
        <v>48</v>
      </c>
      <c r="AF2" s="24" t="s">
        <v>49</v>
      </c>
      <c r="AG2" s="24" t="s">
        <v>50</v>
      </c>
      <c r="AH2" s="24" t="s">
        <v>51</v>
      </c>
      <c r="AI2" s="24" t="s">
        <v>52</v>
      </c>
      <c r="AJ2" s="24" t="s">
        <v>53</v>
      </c>
      <c r="AK2" s="24" t="s">
        <v>54</v>
      </c>
      <c r="AL2" s="24" t="s">
        <v>55</v>
      </c>
      <c r="AM2" s="24" t="s">
        <v>56</v>
      </c>
      <c r="AN2" s="24" t="s">
        <v>57</v>
      </c>
      <c r="AO2" s="24" t="s">
        <v>58</v>
      </c>
      <c r="AP2" s="24" t="s">
        <v>59</v>
      </c>
      <c r="AQ2" s="24" t="s">
        <v>60</v>
      </c>
      <c r="AR2" s="24" t="s">
        <v>61</v>
      </c>
      <c r="AS2" s="24" t="s">
        <v>62</v>
      </c>
      <c r="AT2" s="24" t="s">
        <v>63</v>
      </c>
      <c r="AU2" s="24" t="s">
        <v>64</v>
      </c>
      <c r="AV2" s="24" t="s">
        <v>65</v>
      </c>
      <c r="AW2" s="24" t="s">
        <v>66</v>
      </c>
      <c r="AX2" s="24" t="s">
        <v>67</v>
      </c>
      <c r="AY2" s="24" t="s">
        <v>68</v>
      </c>
      <c r="AZ2" s="24" t="s">
        <v>69</v>
      </c>
      <c r="BA2" s="24" t="s">
        <v>70</v>
      </c>
      <c r="BB2" s="24" t="s">
        <v>71</v>
      </c>
      <c r="BC2" s="24" t="s">
        <v>72</v>
      </c>
      <c r="BD2" s="24" t="s">
        <v>73</v>
      </c>
      <c r="BE2" s="24" t="s">
        <v>74</v>
      </c>
      <c r="BF2" s="24" t="s">
        <v>75</v>
      </c>
      <c r="BG2" s="24" t="s">
        <v>76</v>
      </c>
      <c r="BH2" s="24" t="s">
        <v>77</v>
      </c>
      <c r="BI2" s="24" t="s">
        <v>78</v>
      </c>
      <c r="BJ2" s="24" t="s">
        <v>79</v>
      </c>
      <c r="BK2" s="24" t="s">
        <v>80</v>
      </c>
      <c r="BL2" s="24" t="s">
        <v>81</v>
      </c>
      <c r="BM2" s="24" t="s">
        <v>82</v>
      </c>
      <c r="BN2" s="24" t="s">
        <v>83</v>
      </c>
      <c r="BO2" s="24" t="s">
        <v>84</v>
      </c>
      <c r="BP2" s="24" t="s">
        <v>85</v>
      </c>
      <c r="BQ2" s="24" t="s">
        <v>86</v>
      </c>
      <c r="BR2" s="24" t="s">
        <v>87</v>
      </c>
      <c r="BS2" s="24" t="s">
        <v>88</v>
      </c>
      <c r="BT2" s="24" t="s">
        <v>89</v>
      </c>
      <c r="BU2" s="24" t="s">
        <v>90</v>
      </c>
      <c r="BV2" s="24" t="s">
        <v>91</v>
      </c>
      <c r="BW2" s="24" t="s">
        <v>92</v>
      </c>
      <c r="BX2" s="24" t="s">
        <v>93</v>
      </c>
      <c r="BY2" s="24" t="s">
        <v>94</v>
      </c>
      <c r="BZ2" s="24" t="s">
        <v>95</v>
      </c>
      <c r="CA2" s="24" t="s">
        <v>96</v>
      </c>
      <c r="CB2" s="24" t="s">
        <v>97</v>
      </c>
      <c r="CC2" s="24" t="s">
        <v>98</v>
      </c>
      <c r="CD2" s="24" t="s">
        <v>99</v>
      </c>
      <c r="CE2" s="24" t="s">
        <v>100</v>
      </c>
      <c r="CF2" s="24" t="s">
        <v>101</v>
      </c>
      <c r="CG2" s="24" t="s">
        <v>102</v>
      </c>
      <c r="CH2" s="24" t="s">
        <v>103</v>
      </c>
      <c r="CI2" s="24" t="s">
        <v>104</v>
      </c>
      <c r="CJ2" s="24" t="s">
        <v>105</v>
      </c>
      <c r="CK2" s="38" t="s">
        <v>106</v>
      </c>
    </row>
    <row r="3" spans="1:98" s="25" customFormat="1" ht="13.5">
      <c r="A3" s="39" t="s">
        <v>107</v>
      </c>
      <c r="B3" s="28">
        <v>4.096</v>
      </c>
      <c r="C3" s="28">
        <v>4.096</v>
      </c>
      <c r="D3" s="28">
        <v>4.096</v>
      </c>
      <c r="E3" s="28">
        <v>4.096</v>
      </c>
      <c r="F3" s="28">
        <v>4.096</v>
      </c>
      <c r="G3" s="28">
        <v>4.096</v>
      </c>
      <c r="H3" s="28">
        <v>4.096</v>
      </c>
      <c r="I3" s="28">
        <v>4.096</v>
      </c>
      <c r="J3" s="28">
        <v>4.096</v>
      </c>
      <c r="K3" s="28">
        <v>4.096</v>
      </c>
      <c r="L3" s="28">
        <v>4.096</v>
      </c>
      <c r="M3" s="28">
        <v>4.096</v>
      </c>
      <c r="N3" s="28">
        <v>4.096</v>
      </c>
      <c r="O3" s="28">
        <v>4.096</v>
      </c>
      <c r="P3" s="28">
        <v>4.096</v>
      </c>
      <c r="Q3" s="28">
        <v>4.096</v>
      </c>
      <c r="R3" s="28">
        <v>4.096</v>
      </c>
      <c r="S3" s="28">
        <v>4.096</v>
      </c>
      <c r="T3" s="28">
        <v>4.096</v>
      </c>
      <c r="U3" s="28">
        <v>4.096</v>
      </c>
      <c r="V3" s="28">
        <v>4.096</v>
      </c>
      <c r="W3" s="28">
        <v>4.096</v>
      </c>
      <c r="X3" s="28">
        <v>4.096</v>
      </c>
      <c r="Y3" s="28">
        <v>4.096</v>
      </c>
      <c r="Z3" s="28">
        <v>4.096</v>
      </c>
      <c r="AA3" s="28">
        <v>4.096</v>
      </c>
      <c r="AB3" s="28">
        <v>4.096</v>
      </c>
      <c r="AC3" s="28">
        <v>4.096</v>
      </c>
      <c r="AD3" s="28">
        <v>4.096</v>
      </c>
      <c r="AE3" s="28">
        <v>4.096</v>
      </c>
      <c r="AF3" s="28">
        <v>4.096</v>
      </c>
      <c r="AG3" s="28">
        <v>4.096</v>
      </c>
      <c r="AH3" s="28">
        <v>4.096</v>
      </c>
      <c r="AI3" s="28">
        <v>4.096</v>
      </c>
      <c r="AJ3" s="28">
        <v>4.096</v>
      </c>
      <c r="AK3" s="28">
        <v>4.096</v>
      </c>
      <c r="AL3" s="28">
        <v>4.096</v>
      </c>
      <c r="AM3" s="28">
        <v>4.096</v>
      </c>
      <c r="AN3" s="28">
        <v>4.096</v>
      </c>
      <c r="AO3" s="28">
        <v>4.096</v>
      </c>
      <c r="AP3" s="28">
        <v>4.096</v>
      </c>
      <c r="AQ3" s="28">
        <v>4.096</v>
      </c>
      <c r="AR3" s="28">
        <v>4.096</v>
      </c>
      <c r="AS3" s="28">
        <v>4.096</v>
      </c>
      <c r="AT3" s="28">
        <v>4.096</v>
      </c>
      <c r="AU3" s="28">
        <v>4.096</v>
      </c>
      <c r="AV3" s="28">
        <v>4.096</v>
      </c>
      <c r="AW3" s="28">
        <v>4.096</v>
      </c>
      <c r="AX3" s="28">
        <v>4.096</v>
      </c>
      <c r="AY3" s="28">
        <v>4.096</v>
      </c>
      <c r="AZ3" s="28">
        <v>4.096</v>
      </c>
      <c r="BA3" s="28">
        <v>4.096</v>
      </c>
      <c r="BB3" s="28">
        <v>4.096</v>
      </c>
      <c r="BC3" s="28">
        <v>4.096</v>
      </c>
      <c r="BD3" s="28">
        <v>4.096</v>
      </c>
      <c r="BE3" s="28">
        <v>4.096</v>
      </c>
      <c r="BF3" s="28">
        <v>4.096</v>
      </c>
      <c r="BG3" s="28">
        <v>4.096</v>
      </c>
      <c r="BH3" s="28">
        <v>4.096</v>
      </c>
      <c r="BI3" s="28">
        <v>4.096</v>
      </c>
      <c r="BJ3" s="28">
        <v>4.096</v>
      </c>
      <c r="BK3" s="28">
        <v>4.096</v>
      </c>
      <c r="BL3" s="28">
        <v>4.096</v>
      </c>
      <c r="BM3" s="28">
        <v>4.096</v>
      </c>
      <c r="BN3" s="28">
        <v>4.096</v>
      </c>
      <c r="BO3" s="28">
        <v>4.096</v>
      </c>
      <c r="BP3" s="28">
        <v>4.096</v>
      </c>
      <c r="BQ3" s="28">
        <v>4.096</v>
      </c>
      <c r="BR3" s="28">
        <v>4.096</v>
      </c>
      <c r="BS3" s="28">
        <v>4.096</v>
      </c>
      <c r="BT3" s="28">
        <v>4.096</v>
      </c>
      <c r="BU3" s="28">
        <v>4.096</v>
      </c>
      <c r="BV3" s="28">
        <v>4.096</v>
      </c>
      <c r="BW3" s="28">
        <v>4.096</v>
      </c>
      <c r="BX3" s="28">
        <v>4.096</v>
      </c>
      <c r="BY3" s="28">
        <v>4.096</v>
      </c>
      <c r="BZ3" s="28">
        <v>4.096</v>
      </c>
      <c r="CA3" s="28">
        <v>4.096</v>
      </c>
      <c r="CB3" s="28">
        <v>4.096</v>
      </c>
      <c r="CC3" s="28">
        <v>4.096</v>
      </c>
      <c r="CD3" s="28">
        <v>4.096</v>
      </c>
      <c r="CE3" s="28">
        <v>4.096</v>
      </c>
      <c r="CF3" s="28">
        <v>4.096</v>
      </c>
      <c r="CG3" s="28">
        <v>4.096</v>
      </c>
      <c r="CH3" s="28">
        <v>4.096</v>
      </c>
      <c r="CI3" s="28">
        <v>4.096</v>
      </c>
      <c r="CJ3" s="28">
        <v>4.096</v>
      </c>
      <c r="CK3" s="41">
        <v>4.096</v>
      </c>
      <c r="CO3" s="26"/>
      <c r="CP3" s="26"/>
      <c r="CQ3" s="26"/>
      <c r="CR3" s="26"/>
      <c r="CS3" s="26"/>
      <c r="CT3" s="26"/>
    </row>
    <row r="4" spans="1:98" s="25" customFormat="1" ht="13.5">
      <c r="A4" s="39" t="s">
        <v>108</v>
      </c>
      <c r="B4" s="28">
        <v>2.07</v>
      </c>
      <c r="C4" s="28">
        <v>2.07</v>
      </c>
      <c r="D4" s="28">
        <v>2.07</v>
      </c>
      <c r="E4" s="28">
        <v>2.07</v>
      </c>
      <c r="F4" s="28">
        <v>2.07</v>
      </c>
      <c r="G4" s="28">
        <v>2.07</v>
      </c>
      <c r="H4" s="28">
        <v>2.07</v>
      </c>
      <c r="I4" s="28">
        <v>2.07</v>
      </c>
      <c r="J4" s="28">
        <v>2.07</v>
      </c>
      <c r="K4" s="28">
        <v>2.07</v>
      </c>
      <c r="L4" s="28">
        <v>2.07</v>
      </c>
      <c r="M4" s="28">
        <v>2.07</v>
      </c>
      <c r="N4" s="28">
        <v>2.07</v>
      </c>
      <c r="O4" s="28">
        <v>2.07</v>
      </c>
      <c r="P4" s="28">
        <v>2.07</v>
      </c>
      <c r="Q4" s="28">
        <v>2.07</v>
      </c>
      <c r="R4" s="28">
        <v>2.07</v>
      </c>
      <c r="S4" s="28">
        <v>2.07</v>
      </c>
      <c r="T4" s="28">
        <v>2.07</v>
      </c>
      <c r="U4" s="28">
        <v>2.07</v>
      </c>
      <c r="V4" s="28">
        <v>2.07</v>
      </c>
      <c r="W4" s="28">
        <v>2.07</v>
      </c>
      <c r="X4" s="28">
        <v>2.07</v>
      </c>
      <c r="Y4" s="28">
        <v>2.07</v>
      </c>
      <c r="Z4" s="28">
        <v>2.07</v>
      </c>
      <c r="AA4" s="28">
        <v>2.07</v>
      </c>
      <c r="AB4" s="28">
        <v>2.07</v>
      </c>
      <c r="AC4" s="28">
        <v>2.07</v>
      </c>
      <c r="AD4" s="28">
        <v>2.07</v>
      </c>
      <c r="AE4" s="28">
        <v>2.07</v>
      </c>
      <c r="AF4" s="28">
        <v>2.07</v>
      </c>
      <c r="AG4" s="28">
        <v>2.07</v>
      </c>
      <c r="AH4" s="28">
        <v>2.07</v>
      </c>
      <c r="AI4" s="28">
        <v>2.07</v>
      </c>
      <c r="AJ4" s="28">
        <v>2.07</v>
      </c>
      <c r="AK4" s="28">
        <v>2.07</v>
      </c>
      <c r="AL4" s="28">
        <v>2.07</v>
      </c>
      <c r="AM4" s="28">
        <v>2.07</v>
      </c>
      <c r="AN4" s="28">
        <v>2.07</v>
      </c>
      <c r="AO4" s="28">
        <v>2.07</v>
      </c>
      <c r="AP4" s="28">
        <v>2.07</v>
      </c>
      <c r="AQ4" s="28">
        <v>2.07</v>
      </c>
      <c r="AR4" s="28">
        <v>2.07</v>
      </c>
      <c r="AS4" s="28">
        <v>2.07</v>
      </c>
      <c r="AT4" s="28">
        <v>2.07</v>
      </c>
      <c r="AU4" s="28">
        <v>2.07</v>
      </c>
      <c r="AV4" s="28">
        <v>2.07</v>
      </c>
      <c r="AW4" s="28">
        <v>2.07</v>
      </c>
      <c r="AX4" s="28">
        <v>2.07</v>
      </c>
      <c r="AY4" s="28">
        <v>2.07</v>
      </c>
      <c r="AZ4" s="28">
        <v>2.07</v>
      </c>
      <c r="BA4" s="28">
        <v>2.07</v>
      </c>
      <c r="BB4" s="28">
        <v>2.07</v>
      </c>
      <c r="BC4" s="28">
        <v>2.07</v>
      </c>
      <c r="BD4" s="28">
        <v>2.07</v>
      </c>
      <c r="BE4" s="28">
        <v>2.07</v>
      </c>
      <c r="BF4" s="28">
        <v>2.07</v>
      </c>
      <c r="BG4" s="28">
        <v>2.07</v>
      </c>
      <c r="BH4" s="28">
        <v>2.07</v>
      </c>
      <c r="BI4" s="28">
        <v>2.07</v>
      </c>
      <c r="BJ4" s="28">
        <v>2.07</v>
      </c>
      <c r="BK4" s="28">
        <v>2.07</v>
      </c>
      <c r="BL4" s="28">
        <v>2.07</v>
      </c>
      <c r="BM4" s="28">
        <v>2.07</v>
      </c>
      <c r="BN4" s="28">
        <v>2.07</v>
      </c>
      <c r="BO4" s="28">
        <v>2.07</v>
      </c>
      <c r="BP4" s="28">
        <v>2.07</v>
      </c>
      <c r="BQ4" s="28">
        <v>2.07</v>
      </c>
      <c r="BR4" s="28">
        <v>2.07</v>
      </c>
      <c r="BS4" s="28">
        <v>2.07</v>
      </c>
      <c r="BT4" s="28">
        <v>2.07</v>
      </c>
      <c r="BU4" s="28">
        <v>2.07</v>
      </c>
      <c r="BV4" s="28">
        <v>2.07</v>
      </c>
      <c r="BW4" s="28">
        <v>2.07</v>
      </c>
      <c r="BX4" s="28">
        <v>2.07</v>
      </c>
      <c r="BY4" s="28">
        <v>2.07</v>
      </c>
      <c r="BZ4" s="28">
        <v>2.07</v>
      </c>
      <c r="CA4" s="28">
        <v>2.07</v>
      </c>
      <c r="CB4" s="28">
        <v>2.07</v>
      </c>
      <c r="CC4" s="28">
        <v>2.07</v>
      </c>
      <c r="CD4" s="28">
        <v>2.07</v>
      </c>
      <c r="CE4" s="28">
        <v>2.07</v>
      </c>
      <c r="CF4" s="28">
        <v>2.07</v>
      </c>
      <c r="CG4" s="28">
        <v>2.07</v>
      </c>
      <c r="CH4" s="28">
        <v>2.07</v>
      </c>
      <c r="CI4" s="28">
        <v>2.07</v>
      </c>
      <c r="CJ4" s="28">
        <v>2.07</v>
      </c>
      <c r="CK4" s="41">
        <v>2.066</v>
      </c>
      <c r="CO4" s="26"/>
      <c r="CP4" s="26"/>
      <c r="CQ4" s="26"/>
      <c r="CR4" s="26"/>
      <c r="CS4" s="26"/>
      <c r="CT4" s="26"/>
    </row>
    <row r="5" spans="1:98" s="25" customFormat="1" ht="13.5">
      <c r="A5" s="39" t="s">
        <v>109</v>
      </c>
      <c r="B5" s="30">
        <v>0.252</v>
      </c>
      <c r="C5" s="30">
        <v>0.252</v>
      </c>
      <c r="D5" s="29">
        <v>0.252</v>
      </c>
      <c r="E5" s="29">
        <v>0.252</v>
      </c>
      <c r="F5" s="29">
        <v>0.252</v>
      </c>
      <c r="G5" s="29">
        <v>0.252</v>
      </c>
      <c r="H5" s="29">
        <v>0.252</v>
      </c>
      <c r="I5" s="29">
        <v>0.256</v>
      </c>
      <c r="J5" s="29">
        <v>0.256</v>
      </c>
      <c r="K5" s="29">
        <v>0.252</v>
      </c>
      <c r="L5" s="29">
        <v>0.252</v>
      </c>
      <c r="M5" s="29">
        <v>0.252</v>
      </c>
      <c r="N5" s="29">
        <v>0.256</v>
      </c>
      <c r="O5" s="29">
        <v>0.252</v>
      </c>
      <c r="P5" s="29">
        <v>0.252</v>
      </c>
      <c r="Q5" s="29">
        <v>0.252</v>
      </c>
      <c r="R5" s="29">
        <v>0.256</v>
      </c>
      <c r="S5" s="29">
        <v>0.256</v>
      </c>
      <c r="T5" s="29">
        <v>0.252</v>
      </c>
      <c r="U5" s="29">
        <v>0.256</v>
      </c>
      <c r="V5" s="29">
        <v>0.256</v>
      </c>
      <c r="W5" s="29">
        <v>0.252</v>
      </c>
      <c r="X5" s="29">
        <v>0.252</v>
      </c>
      <c r="Y5" s="29">
        <v>0.252</v>
      </c>
      <c r="Z5" s="29">
        <v>0.252</v>
      </c>
      <c r="AA5" s="29">
        <v>0.252</v>
      </c>
      <c r="AB5" s="29">
        <v>0.256</v>
      </c>
      <c r="AC5" s="29">
        <v>0.256</v>
      </c>
      <c r="AD5" s="29">
        <v>0.252</v>
      </c>
      <c r="AE5" s="29">
        <v>0.252</v>
      </c>
      <c r="AF5" s="29">
        <v>0.252</v>
      </c>
      <c r="AG5" s="29">
        <v>0.252</v>
      </c>
      <c r="AH5" s="29">
        <v>0.252</v>
      </c>
      <c r="AI5" s="29">
        <v>0.252</v>
      </c>
      <c r="AJ5" s="29">
        <v>0.252</v>
      </c>
      <c r="AK5" s="29">
        <v>0.256</v>
      </c>
      <c r="AL5" s="29">
        <v>0.256</v>
      </c>
      <c r="AM5" s="29">
        <v>0.252</v>
      </c>
      <c r="AN5" s="29">
        <v>0.252</v>
      </c>
      <c r="AO5" s="29">
        <v>0.252</v>
      </c>
      <c r="AP5" s="29">
        <v>0.252</v>
      </c>
      <c r="AQ5" s="29">
        <v>0.256</v>
      </c>
      <c r="AR5" s="29">
        <v>0.252</v>
      </c>
      <c r="AS5" s="29">
        <v>0.256</v>
      </c>
      <c r="AT5" s="29">
        <v>0.256</v>
      </c>
      <c r="AU5" s="29">
        <v>0.252</v>
      </c>
      <c r="AV5" s="29">
        <v>0.252</v>
      </c>
      <c r="AW5" s="29">
        <v>0.252</v>
      </c>
      <c r="AX5" s="29">
        <v>0.256</v>
      </c>
      <c r="AY5" s="29">
        <v>0.256</v>
      </c>
      <c r="AZ5" s="29">
        <v>0.256</v>
      </c>
      <c r="BA5" s="29">
        <v>0.256</v>
      </c>
      <c r="BB5" s="29">
        <v>0.252</v>
      </c>
      <c r="BC5" s="29">
        <v>0.252</v>
      </c>
      <c r="BD5" s="29">
        <v>0.252</v>
      </c>
      <c r="BE5" s="29">
        <v>0.256</v>
      </c>
      <c r="BF5" s="29">
        <v>0.256</v>
      </c>
      <c r="BG5" s="29">
        <v>0.256</v>
      </c>
      <c r="BH5" s="29">
        <v>0.256</v>
      </c>
      <c r="BI5" s="29">
        <v>0.252</v>
      </c>
      <c r="BJ5" s="29">
        <v>0.252</v>
      </c>
      <c r="BK5" s="29">
        <v>0.256</v>
      </c>
      <c r="BL5" s="29">
        <v>0.256</v>
      </c>
      <c r="BM5" s="29">
        <v>0.256</v>
      </c>
      <c r="BN5" s="29">
        <v>0.256</v>
      </c>
      <c r="BO5" s="29">
        <v>0.256</v>
      </c>
      <c r="BP5" s="29">
        <v>0.252</v>
      </c>
      <c r="BQ5" s="29">
        <v>0.256</v>
      </c>
      <c r="BR5" s="29">
        <v>0.256</v>
      </c>
      <c r="BS5" s="29">
        <v>0.256</v>
      </c>
      <c r="BT5" s="29">
        <v>0.256</v>
      </c>
      <c r="BU5" s="29">
        <v>0.252</v>
      </c>
      <c r="BV5" s="29">
        <v>0.256</v>
      </c>
      <c r="BW5" s="29">
        <v>0.256</v>
      </c>
      <c r="BX5" s="29">
        <v>0.252</v>
      </c>
      <c r="BY5" s="29">
        <v>0.256</v>
      </c>
      <c r="BZ5" s="29">
        <v>0.256</v>
      </c>
      <c r="CA5" s="29">
        <v>0.256</v>
      </c>
      <c r="CB5" s="29">
        <v>0.256</v>
      </c>
      <c r="CC5" s="29">
        <v>0.256</v>
      </c>
      <c r="CD5" s="29">
        <v>0.256</v>
      </c>
      <c r="CE5" s="29">
        <v>0.256</v>
      </c>
      <c r="CF5" s="29">
        <v>0.256</v>
      </c>
      <c r="CG5" s="29">
        <v>0.252</v>
      </c>
      <c r="CH5" s="29">
        <v>0.256</v>
      </c>
      <c r="CI5" s="29">
        <v>0.256</v>
      </c>
      <c r="CJ5" s="29">
        <v>0.256</v>
      </c>
      <c r="CK5" s="40">
        <v>0.256</v>
      </c>
      <c r="CO5" s="26"/>
      <c r="CP5" s="26"/>
      <c r="CQ5" s="26"/>
      <c r="CR5" s="26"/>
      <c r="CS5" s="26"/>
      <c r="CT5" s="26"/>
    </row>
    <row r="6" spans="1:89" s="98" customFormat="1" ht="19.5" customHeight="1" thickBot="1">
      <c r="A6" s="99" t="s">
        <v>111</v>
      </c>
      <c r="B6" s="100">
        <f>'弦圧データ'!K2</f>
        <v>0.12000000000000671</v>
      </c>
      <c r="C6" s="100">
        <f>'弦圧データ'!K3</f>
        <v>0.12000000000000671</v>
      </c>
      <c r="D6" s="100">
        <f>'弦圧データ'!K4</f>
        <v>0.12000000000000671</v>
      </c>
      <c r="E6" s="100">
        <f>'弦圧データ'!K5</f>
        <v>0.12000000000000671</v>
      </c>
      <c r="F6" s="100">
        <f>'弦圧データ'!K6</f>
        <v>0.12000000000000671</v>
      </c>
      <c r="G6" s="100">
        <f>'弦圧データ'!K7</f>
        <v>0.12000000000000671</v>
      </c>
      <c r="H6" s="100">
        <f>'弦圧データ'!K8</f>
        <v>0.12000000000000671</v>
      </c>
      <c r="I6" s="100">
        <f>'弦圧データ'!K9</f>
        <v>0.12000000000000671</v>
      </c>
      <c r="J6" s="100">
        <f>'弦圧データ'!K10</f>
        <v>0.12000000000000671</v>
      </c>
      <c r="K6" s="101">
        <f>'弦圧データ'!K11</f>
        <v>0.12000000000000671</v>
      </c>
      <c r="L6" s="101">
        <f>'弦圧データ'!K12</f>
        <v>0.12000000000000671</v>
      </c>
      <c r="M6" s="101">
        <f>'弦圧データ'!K13</f>
        <v>0.12000000000000671</v>
      </c>
      <c r="N6" s="101">
        <f>'弦圧データ'!K14</f>
        <v>0.12000000000000671</v>
      </c>
      <c r="O6" s="101">
        <f>'弦圧データ'!K15</f>
        <v>0.12000000000000671</v>
      </c>
      <c r="P6" s="101">
        <f>'弦圧データ'!K16</f>
        <v>0.12000000000000671</v>
      </c>
      <c r="Q6" s="101">
        <f>'弦圧データ'!K17</f>
        <v>0.12000000000000671</v>
      </c>
      <c r="R6" s="101">
        <f>'弦圧データ'!K18</f>
        <v>0.12000000000000671</v>
      </c>
      <c r="S6" s="101">
        <f>'弦圧データ'!K19</f>
        <v>0.12000000000000671</v>
      </c>
      <c r="T6" s="101">
        <f>'弦圧データ'!K20</f>
        <v>0.12000000000000671</v>
      </c>
      <c r="U6" s="101">
        <f>'弦圧データ'!K21</f>
        <v>0.12000000000000671</v>
      </c>
      <c r="V6" s="101">
        <f>'弦圧データ'!K22</f>
        <v>0.12000000000000671</v>
      </c>
      <c r="W6" s="101">
        <f>'弦圧データ'!K23</f>
        <v>0.12000000000000671</v>
      </c>
      <c r="X6" s="101">
        <f>'弦圧データ'!K24</f>
        <v>0.12000000000000671</v>
      </c>
      <c r="Y6" s="101">
        <f>'弦圧データ'!K25</f>
        <v>0.12000000000000671</v>
      </c>
      <c r="Z6" s="101">
        <f>'弦圧データ'!K26</f>
        <v>0.12000000000000671</v>
      </c>
      <c r="AA6" s="101">
        <f>'弦圧データ'!K27</f>
        <v>0.12000000000000671</v>
      </c>
      <c r="AB6" s="101">
        <f>'弦圧データ'!K28</f>
        <v>0.12000000000000671</v>
      </c>
      <c r="AC6" s="101">
        <f>'弦圧データ'!K29</f>
        <v>0.12000000000000671</v>
      </c>
      <c r="AD6" s="101">
        <f>'弦圧データ'!K30</f>
        <v>0.12000000000000671</v>
      </c>
      <c r="AE6" s="101">
        <f>'弦圧データ'!K31</f>
        <v>0.12000000000000671</v>
      </c>
      <c r="AF6" s="101">
        <f>'弦圧データ'!K32</f>
        <v>0.12000000000000671</v>
      </c>
      <c r="AG6" s="101">
        <f>'弦圧データ'!K33</f>
        <v>0.12000000000000671</v>
      </c>
      <c r="AH6" s="101">
        <f>'弦圧データ'!K34</f>
        <v>0.12000000000000671</v>
      </c>
      <c r="AI6" s="101">
        <f>'弦圧データ'!K35</f>
        <v>0.12000000000000671</v>
      </c>
      <c r="AJ6" s="101">
        <f>'弦圧データ'!K36</f>
        <v>0.12000000000000671</v>
      </c>
      <c r="AK6" s="101">
        <f>'弦圧データ'!K37</f>
        <v>0.12000000000000671</v>
      </c>
      <c r="AL6" s="101">
        <f>'弦圧データ'!K38</f>
        <v>0.12000000000000671</v>
      </c>
      <c r="AM6" s="101">
        <f>'弦圧データ'!K39</f>
        <v>0.12000000000000671</v>
      </c>
      <c r="AN6" s="101">
        <f>'弦圧データ'!K40</f>
        <v>0.12000000000000671</v>
      </c>
      <c r="AO6" s="101">
        <f>'弦圧データ'!K41</f>
        <v>0.12000000000000671</v>
      </c>
      <c r="AP6" s="101">
        <f>'弦圧データ'!K42</f>
        <v>0.12000000000000671</v>
      </c>
      <c r="AQ6" s="101">
        <f>'弦圧データ'!K43</f>
        <v>0.12000000000000671</v>
      </c>
      <c r="AR6" s="101">
        <f>'弦圧データ'!K44</f>
        <v>0.12000000000000671</v>
      </c>
      <c r="AS6" s="101">
        <f>'弦圧データ'!K45</f>
        <v>0.12000000000000671</v>
      </c>
      <c r="AT6" s="101">
        <f>'弦圧データ'!K46</f>
        <v>0.12000000000000671</v>
      </c>
      <c r="AU6" s="101">
        <f>'弦圧データ'!K47</f>
        <v>0.12000000000000671</v>
      </c>
      <c r="AV6" s="101">
        <f>'弦圧データ'!K48</f>
        <v>0.12000000000000671</v>
      </c>
      <c r="AW6" s="101">
        <f>'弦圧データ'!K49</f>
        <v>0.12000000000000671</v>
      </c>
      <c r="AX6" s="101">
        <f>'弦圧データ'!K50</f>
        <v>0.12000000000000671</v>
      </c>
      <c r="AY6" s="101">
        <f>'弦圧データ'!K51</f>
        <v>0.12000000000000671</v>
      </c>
      <c r="AZ6" s="101">
        <f>'弦圧データ'!K52</f>
        <v>0.12000000000000671</v>
      </c>
      <c r="BA6" s="101">
        <f>'弦圧データ'!K53</f>
        <v>0.12000000000000671</v>
      </c>
      <c r="BB6" s="101">
        <f>'弦圧データ'!K54</f>
        <v>0.12000000000000671</v>
      </c>
      <c r="BC6" s="101">
        <f>'弦圧データ'!K55</f>
        <v>0.12000000000000671</v>
      </c>
      <c r="BD6" s="101">
        <f>'弦圧データ'!K56</f>
        <v>0.12000000000000671</v>
      </c>
      <c r="BE6" s="101">
        <f>'弦圧データ'!K57</f>
        <v>0.12000000000000671</v>
      </c>
      <c r="BF6" s="101">
        <f>'弦圧データ'!K58</f>
        <v>0.12000000000000671</v>
      </c>
      <c r="BG6" s="101">
        <f>'弦圧データ'!K59</f>
        <v>0.12000000000000671</v>
      </c>
      <c r="BH6" s="101">
        <f>'弦圧データ'!K60</f>
        <v>0.12000000000000671</v>
      </c>
      <c r="BI6" s="101">
        <f>'弦圧データ'!K61</f>
        <v>0.12000000000000671</v>
      </c>
      <c r="BJ6" s="101">
        <f>'弦圧データ'!K62</f>
        <v>0.12000000000000671</v>
      </c>
      <c r="BK6" s="101">
        <f>'弦圧データ'!K63</f>
        <v>0.12000000000000671</v>
      </c>
      <c r="BL6" s="101">
        <f>'弦圧データ'!K64</f>
        <v>0.12000000000000671</v>
      </c>
      <c r="BM6" s="101">
        <f>'弦圧データ'!K65</f>
        <v>0.12000000000000671</v>
      </c>
      <c r="BN6" s="101">
        <f>'弦圧データ'!K66</f>
        <v>0.12000000000000671</v>
      </c>
      <c r="BO6" s="101">
        <f>'弦圧データ'!K67</f>
        <v>0.12000000000000671</v>
      </c>
      <c r="BP6" s="101">
        <f>'弦圧データ'!K68</f>
        <v>0.12000000000000671</v>
      </c>
      <c r="BQ6" s="101">
        <f>'弦圧データ'!K69</f>
        <v>0.12000000000000671</v>
      </c>
      <c r="BR6" s="101">
        <f>'弦圧データ'!K70</f>
        <v>0.12000000000000671</v>
      </c>
      <c r="BS6" s="101">
        <f>'弦圧データ'!K71</f>
        <v>0.12000000000000671</v>
      </c>
      <c r="BT6" s="101">
        <f>'弦圧データ'!K72</f>
        <v>0.12000000000000671</v>
      </c>
      <c r="BU6" s="101">
        <f>'弦圧データ'!K73</f>
        <v>0.12000000000000671</v>
      </c>
      <c r="BV6" s="101">
        <f>'弦圧データ'!K74</f>
        <v>0.12000000000000671</v>
      </c>
      <c r="BW6" s="101">
        <f>'弦圧データ'!K75</f>
        <v>0.12000000000000671</v>
      </c>
      <c r="BX6" s="101">
        <f>'弦圧データ'!K76</f>
        <v>0.12000000000000671</v>
      </c>
      <c r="BY6" s="101">
        <f>'弦圧データ'!K77</f>
        <v>0.12000000000000671</v>
      </c>
      <c r="BZ6" s="101">
        <f>'弦圧データ'!K78</f>
        <v>0.12000000000000671</v>
      </c>
      <c r="CA6" s="101">
        <f>'弦圧データ'!K79</f>
        <v>0.12000000000000671</v>
      </c>
      <c r="CB6" s="101">
        <f>'弦圧データ'!K80</f>
        <v>0.12000000000000671</v>
      </c>
      <c r="CC6" s="101">
        <f>'弦圧データ'!K81</f>
        <v>0.12000000000000671</v>
      </c>
      <c r="CD6" s="101">
        <f>'弦圧データ'!K82</f>
        <v>0.12000000000000671</v>
      </c>
      <c r="CE6" s="101">
        <f>'弦圧データ'!K83</f>
        <v>0.12000000000000671</v>
      </c>
      <c r="CF6" s="101">
        <f>'弦圧データ'!K84</f>
        <v>0.12000000000000671</v>
      </c>
      <c r="CG6" s="101">
        <f>'弦圧データ'!K85</f>
        <v>0.12000000000000671</v>
      </c>
      <c r="CH6" s="101">
        <f>'弦圧データ'!K86</f>
        <v>0.12000000000000671</v>
      </c>
      <c r="CI6" s="101">
        <f>'弦圧データ'!K87</f>
        <v>0.12000000000000671</v>
      </c>
      <c r="CJ6" s="101">
        <f>'弦圧データ'!K88</f>
        <v>0.12000000000000671</v>
      </c>
      <c r="CK6" s="102">
        <f>'弦圧データ'!K89</f>
        <v>0.24000000000000682</v>
      </c>
    </row>
  </sheetData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G20:I29"/>
  <sheetViews>
    <sheetView zoomScale="70" zoomScaleNormal="70" workbookViewId="0" topLeftCell="A1">
      <selection activeCell="C19" sqref="C19"/>
    </sheetView>
  </sheetViews>
  <sheetFormatPr defaultColWidth="9.140625" defaultRowHeight="12"/>
  <cols>
    <col min="1" max="10" width="8.421875" style="0" bestFit="1" customWidth="1"/>
    <col min="11" max="11" width="11.00390625" style="0" customWidth="1"/>
    <col min="12" max="16384" width="8.421875" style="0" bestFit="1" customWidth="1"/>
  </cols>
  <sheetData>
    <row r="20" ht="9.75" customHeight="1">
      <c r="I20" s="15"/>
    </row>
    <row r="29" ht="13.5">
      <c r="G29" s="31"/>
    </row>
  </sheetData>
  <printOptions gridLines="1"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102"/>
  <sheetViews>
    <sheetView workbookViewId="0" topLeftCell="G1">
      <selection activeCell="X36" sqref="X36"/>
    </sheetView>
  </sheetViews>
  <sheetFormatPr defaultColWidth="9.140625" defaultRowHeight="12"/>
  <cols>
    <col min="1" max="1" width="7.421875" style="3" bestFit="1" customWidth="1"/>
    <col min="2" max="2" width="6.7109375" style="7" bestFit="1" customWidth="1"/>
    <col min="3" max="6" width="6.7109375" style="7" customWidth="1"/>
    <col min="7" max="8" width="7.421875" style="4" customWidth="1"/>
    <col min="9" max="9" width="6.00390625" style="3" bestFit="1" customWidth="1"/>
    <col min="10" max="10" width="7.421875" style="3" bestFit="1" customWidth="1"/>
    <col min="11" max="11" width="7.421875" style="4" bestFit="1" customWidth="1"/>
    <col min="12" max="12" width="7.421875" style="5" bestFit="1" customWidth="1"/>
    <col min="13" max="13" width="7.421875" style="82" bestFit="1" customWidth="1"/>
    <col min="14" max="14" width="4.8515625" style="84" customWidth="1"/>
    <col min="15" max="15" width="5.140625" style="84" bestFit="1" customWidth="1"/>
    <col min="16" max="16" width="10.421875" style="4" customWidth="1"/>
    <col min="17" max="19" width="10.421875" style="85" customWidth="1"/>
    <col min="20" max="20" width="14.140625" style="86" customWidth="1"/>
    <col min="21" max="21" width="8.57421875" style="12" customWidth="1"/>
    <col min="22" max="22" width="9.421875" style="12" customWidth="1"/>
    <col min="23" max="23" width="7.421875" style="3" bestFit="1" customWidth="1"/>
    <col min="24" max="24" width="13.00390625" style="8" bestFit="1" customWidth="1"/>
    <col min="25" max="110" width="9.00390625" style="8" bestFit="1" customWidth="1"/>
    <col min="111" max="254" width="9.00390625" style="3" bestFit="1" customWidth="1"/>
    <col min="255" max="16384" width="9.00390625" style="3" customWidth="1"/>
  </cols>
  <sheetData>
    <row r="1" spans="1:23" s="94" customFormat="1" ht="24" customHeight="1">
      <c r="A1" s="87" t="s">
        <v>18</v>
      </c>
      <c r="B1" s="88" t="s">
        <v>112</v>
      </c>
      <c r="C1" s="77" t="s">
        <v>127</v>
      </c>
      <c r="D1" s="77"/>
      <c r="E1" s="78" t="s">
        <v>128</v>
      </c>
      <c r="F1" s="78"/>
      <c r="G1" s="42" t="s">
        <v>125</v>
      </c>
      <c r="H1" s="43" t="s">
        <v>126</v>
      </c>
      <c r="I1" s="89" t="s">
        <v>113</v>
      </c>
      <c r="J1" s="90" t="s">
        <v>114</v>
      </c>
      <c r="K1" s="91" t="s">
        <v>115</v>
      </c>
      <c r="L1" s="80" t="s">
        <v>116</v>
      </c>
      <c r="M1" s="80" t="s">
        <v>117</v>
      </c>
      <c r="N1" s="83" t="s">
        <v>118</v>
      </c>
      <c r="O1" s="83" t="s">
        <v>119</v>
      </c>
      <c r="P1" s="89" t="s">
        <v>120</v>
      </c>
      <c r="Q1" s="48" t="s">
        <v>132</v>
      </c>
      <c r="R1" s="49" t="s">
        <v>133</v>
      </c>
      <c r="S1" s="50" t="s">
        <v>134</v>
      </c>
      <c r="T1" s="51" t="s">
        <v>131</v>
      </c>
      <c r="U1" s="92" t="s">
        <v>121</v>
      </c>
      <c r="V1" s="92" t="s">
        <v>122</v>
      </c>
      <c r="W1" s="93" t="s">
        <v>123</v>
      </c>
    </row>
    <row r="2" spans="1:109" s="13" customFormat="1" ht="11.25" customHeight="1">
      <c r="A2" s="60" t="s">
        <v>19</v>
      </c>
      <c r="B2" s="6">
        <v>1</v>
      </c>
      <c r="C2" s="6">
        <f>_A1</f>
        <v>4.096</v>
      </c>
      <c r="D2" s="6">
        <f>'後部弦圧入力'!B4</f>
        <v>2.07</v>
      </c>
      <c r="E2" s="6">
        <f>__A1</f>
        <v>4.096</v>
      </c>
      <c r="F2" s="59">
        <f>'前部弦圧入力'!B4</f>
        <v>2.07</v>
      </c>
      <c r="G2" s="1">
        <f>ASIN(J2/I2)*180/PI()</f>
        <v>0.09167328633490071</v>
      </c>
      <c r="H2" s="1">
        <f>ASIN(K2/I2)*180/PI()</f>
        <v>0.09167328633490071</v>
      </c>
      <c r="I2" s="10">
        <v>75</v>
      </c>
      <c r="J2" s="1">
        <f aca="true" t="shared" si="0" ref="J2:J33">-(IF((3.5&lt;C2),補正値X*I2*((D2-オフセットX1)-オフセットX2),IF((3.5&lt;D2),(オフセットYU-_A1)*補正値YU*I2,(C2-オフセットYL)*補正値YL*I2)))</f>
        <v>0.12000000000000671</v>
      </c>
      <c r="K2" s="1">
        <f aca="true" t="shared" si="1" ref="K2:K33">-(IF((3.5&lt;E2),補正値X*I2*((F2-オフセットX1)-オフセットX2),IF((3.5&lt;F2),(オフセットYU-E2)*補正値YU*I2,(E2-オフセットYL)*補正値YL*I2)))</f>
        <v>0.12000000000000671</v>
      </c>
      <c r="L2" s="1">
        <f>J2+K2</f>
        <v>0.24000000000001342</v>
      </c>
      <c r="M2" s="79">
        <f>'補正値の入力'!C$6</f>
        <v>1.2</v>
      </c>
      <c r="N2" s="79">
        <f>M2</f>
        <v>1.2</v>
      </c>
      <c r="O2" s="79">
        <f>N2+1</f>
        <v>2.2</v>
      </c>
      <c r="P2" s="2">
        <f aca="true" t="shared" si="2" ref="P2:P33">M2-L2</f>
        <v>0.9599999999999865</v>
      </c>
      <c r="Q2" s="52"/>
      <c r="R2" s="53">
        <v>115</v>
      </c>
      <c r="S2" s="54"/>
      <c r="T2" s="58"/>
      <c r="U2" s="2">
        <f aca="true" t="shared" si="3" ref="U2:U39">-P2*R2/I2</f>
        <v>-1.4719999999999793</v>
      </c>
      <c r="V2" s="11">
        <f>IF(U2&gt;=0,MROUND(U2,0.25),IF(U2&lt;0,MROUND(U2,-0.25)))</f>
        <v>-1.5</v>
      </c>
      <c r="W2" s="61">
        <f aca="true" t="shared" si="4" ref="W2:W39">L2-I2*V2/R2</f>
        <v>1.2182608695652308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</row>
    <row r="3" spans="1:109" s="13" customFormat="1" ht="11.25" customHeight="1">
      <c r="A3" s="60" t="s">
        <v>20</v>
      </c>
      <c r="B3" s="6">
        <v>2</v>
      </c>
      <c r="C3" s="6">
        <f>_B1</f>
        <v>4.096</v>
      </c>
      <c r="D3" s="6">
        <f>'後部弦圧入力'!C4</f>
        <v>2.07</v>
      </c>
      <c r="E3" s="6">
        <f>__B1</f>
        <v>4.096</v>
      </c>
      <c r="F3" s="59">
        <f>'前部弦圧入力'!C4</f>
        <v>2.07</v>
      </c>
      <c r="G3" s="1">
        <f aca="true" t="shared" si="5" ref="G3:G66">ASIN(J3/I3)*180/PI()</f>
        <v>0.09167328633490071</v>
      </c>
      <c r="H3" s="1">
        <f aca="true" t="shared" si="6" ref="H3:H66">ASIN(K3/I3)*180/PI()</f>
        <v>0.09167328633490071</v>
      </c>
      <c r="I3" s="10">
        <v>75</v>
      </c>
      <c r="J3" s="1">
        <f t="shared" si="0"/>
        <v>0.12000000000000671</v>
      </c>
      <c r="K3" s="1">
        <f t="shared" si="1"/>
        <v>0.12000000000000671</v>
      </c>
      <c r="L3" s="1">
        <f aca="true" t="shared" si="7" ref="L2:L33">J3+K3</f>
        <v>0.24000000000001342</v>
      </c>
      <c r="M3" s="79">
        <f>'補正値の入力'!C$6</f>
        <v>1.2</v>
      </c>
      <c r="N3" s="79">
        <f aca="true" t="shared" si="8" ref="N3:N66">M3</f>
        <v>1.2</v>
      </c>
      <c r="O3" s="79">
        <f aca="true" t="shared" si="9" ref="O3:O66">N3+1</f>
        <v>2.2</v>
      </c>
      <c r="P3" s="2">
        <f t="shared" si="2"/>
        <v>0.9599999999999865</v>
      </c>
      <c r="Q3" s="52"/>
      <c r="R3" s="53">
        <v>118</v>
      </c>
      <c r="S3" s="54"/>
      <c r="T3" s="58"/>
      <c r="U3" s="2">
        <f t="shared" si="3"/>
        <v>-1.5103999999999789</v>
      </c>
      <c r="V3" s="11">
        <f>IF(U3&gt;=0,MROUND(U3,0.25),IF(U3&lt;0,MROUND(U3,-0.25)))</f>
        <v>-1.5</v>
      </c>
      <c r="W3" s="61">
        <f t="shared" si="4"/>
        <v>1.193389830508488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</row>
    <row r="4" spans="1:109" s="13" customFormat="1" ht="11.25" customHeight="1">
      <c r="A4" s="60" t="s">
        <v>21</v>
      </c>
      <c r="B4" s="6">
        <v>3</v>
      </c>
      <c r="C4" s="6">
        <f>_H1</f>
        <v>4.096</v>
      </c>
      <c r="D4" s="6">
        <f>'後部弦圧入力'!D4</f>
        <v>2.07</v>
      </c>
      <c r="E4" s="6">
        <f>__H1</f>
        <v>4.096</v>
      </c>
      <c r="F4" s="6">
        <f>'前部弦圧入力'!D4</f>
        <v>2.07</v>
      </c>
      <c r="G4" s="1">
        <f t="shared" si="5"/>
        <v>0.09167328633490071</v>
      </c>
      <c r="H4" s="1">
        <f t="shared" si="6"/>
        <v>0.09167328633490071</v>
      </c>
      <c r="I4" s="10">
        <v>75</v>
      </c>
      <c r="J4" s="1">
        <f t="shared" si="0"/>
        <v>0.12000000000000671</v>
      </c>
      <c r="K4" s="1">
        <f t="shared" si="1"/>
        <v>0.12000000000000671</v>
      </c>
      <c r="L4" s="1">
        <f t="shared" si="7"/>
        <v>0.24000000000001342</v>
      </c>
      <c r="M4" s="79">
        <f>'補正値の入力'!C$6</f>
        <v>1.2</v>
      </c>
      <c r="N4" s="79">
        <f t="shared" si="8"/>
        <v>1.2</v>
      </c>
      <c r="O4" s="79">
        <f t="shared" si="9"/>
        <v>2.2</v>
      </c>
      <c r="P4" s="2">
        <f t="shared" si="2"/>
        <v>0.9599999999999865</v>
      </c>
      <c r="Q4" s="52"/>
      <c r="R4" s="53">
        <v>126</v>
      </c>
      <c r="S4" s="54"/>
      <c r="T4" s="58"/>
      <c r="U4" s="2">
        <f t="shared" si="3"/>
        <v>-1.6127999999999774</v>
      </c>
      <c r="V4" s="11">
        <f>IF(U4&gt;=0,MROUND(U4,0.25),IF(U4&lt;0,MROUND(U4,-0.25)))</f>
        <v>-1.5</v>
      </c>
      <c r="W4" s="61">
        <f t="shared" si="4"/>
        <v>1.1328571428571563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</row>
    <row r="5" spans="1:109" s="13" customFormat="1" ht="11.25" customHeight="1">
      <c r="A5" s="60" t="s">
        <v>22</v>
      </c>
      <c r="B5" s="6">
        <v>4</v>
      </c>
      <c r="C5" s="6">
        <f>_C1</f>
        <v>4.096</v>
      </c>
      <c r="D5" s="6">
        <f>'後部弦圧入力'!E4</f>
        <v>2.07</v>
      </c>
      <c r="E5" s="6">
        <f>__C1</f>
        <v>4.096</v>
      </c>
      <c r="F5" s="6">
        <f>'前部弦圧入力'!E4</f>
        <v>2.07</v>
      </c>
      <c r="G5" s="1">
        <f t="shared" si="5"/>
        <v>0.09167328633490071</v>
      </c>
      <c r="H5" s="1">
        <f t="shared" si="6"/>
        <v>0.09167328633490071</v>
      </c>
      <c r="I5" s="10">
        <v>75</v>
      </c>
      <c r="J5" s="1">
        <f t="shared" si="0"/>
        <v>0.12000000000000671</v>
      </c>
      <c r="K5" s="1">
        <f t="shared" si="1"/>
        <v>0.12000000000000671</v>
      </c>
      <c r="L5" s="1">
        <f t="shared" si="7"/>
        <v>0.24000000000001342</v>
      </c>
      <c r="M5" s="79">
        <f>'補正値の入力'!C$6</f>
        <v>1.2</v>
      </c>
      <c r="N5" s="79">
        <f t="shared" si="8"/>
        <v>1.2</v>
      </c>
      <c r="O5" s="79">
        <f t="shared" si="9"/>
        <v>2.2</v>
      </c>
      <c r="P5" s="2">
        <f t="shared" si="2"/>
        <v>0.9599999999999865</v>
      </c>
      <c r="Q5" s="52"/>
      <c r="R5" s="53">
        <v>130</v>
      </c>
      <c r="S5" s="54"/>
      <c r="T5" s="58"/>
      <c r="U5" s="2">
        <f t="shared" si="3"/>
        <v>-1.6639999999999766</v>
      </c>
      <c r="V5" s="11">
        <f>IF(U5&gt;=0,MROUND(U5,0.25),IF(U5&lt;0,MROUND(U5,-0.25)))</f>
        <v>-1.75</v>
      </c>
      <c r="W5" s="61">
        <f t="shared" si="4"/>
        <v>1.2496153846153981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</row>
    <row r="6" spans="1:109" s="13" customFormat="1" ht="11.25">
      <c r="A6" s="60" t="s">
        <v>23</v>
      </c>
      <c r="B6" s="6">
        <v>5</v>
      </c>
      <c r="C6" s="6">
        <f>_Cis1</f>
        <v>4.096</v>
      </c>
      <c r="D6" s="6">
        <f>'後部弦圧入力'!F4</f>
        <v>2.07</v>
      </c>
      <c r="E6" s="6">
        <f>__Cis1</f>
        <v>4.096</v>
      </c>
      <c r="F6" s="6">
        <f>'前部弦圧入力'!F4</f>
        <v>2.07</v>
      </c>
      <c r="G6" s="1">
        <f t="shared" si="5"/>
        <v>0.09167328633490071</v>
      </c>
      <c r="H6" s="1">
        <f t="shared" si="6"/>
        <v>0.09167328633490071</v>
      </c>
      <c r="I6" s="10">
        <v>75</v>
      </c>
      <c r="J6" s="1">
        <f t="shared" si="0"/>
        <v>0.12000000000000671</v>
      </c>
      <c r="K6" s="1">
        <f t="shared" si="1"/>
        <v>0.12000000000000671</v>
      </c>
      <c r="L6" s="1">
        <f t="shared" si="7"/>
        <v>0.24000000000001342</v>
      </c>
      <c r="M6" s="79">
        <f>'補正値の入力'!C$6</f>
        <v>1.2</v>
      </c>
      <c r="N6" s="79">
        <f t="shared" si="8"/>
        <v>1.2</v>
      </c>
      <c r="O6" s="79">
        <f t="shared" si="9"/>
        <v>2.2</v>
      </c>
      <c r="P6" s="2">
        <f t="shared" si="2"/>
        <v>0.9599999999999865</v>
      </c>
      <c r="Q6" s="52"/>
      <c r="R6" s="53">
        <v>136</v>
      </c>
      <c r="S6" s="54"/>
      <c r="T6" s="58"/>
      <c r="U6" s="2">
        <f t="shared" si="3"/>
        <v>-1.7407999999999755</v>
      </c>
      <c r="V6" s="11">
        <f>IF(U6&gt;=0,MROUND(U6,0.25),IF(U6&lt;0,MROUND(U6,-0.25)))</f>
        <v>-1.75</v>
      </c>
      <c r="W6" s="61">
        <f t="shared" si="4"/>
        <v>1.205073529411778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</row>
    <row r="7" spans="1:109" s="13" customFormat="1" ht="11.25">
      <c r="A7" s="60" t="s">
        <v>24</v>
      </c>
      <c r="B7" s="6">
        <v>6</v>
      </c>
      <c r="C7" s="6">
        <f>_D1</f>
        <v>4.096</v>
      </c>
      <c r="D7" s="6">
        <f>'後部弦圧入力'!G4</f>
        <v>2.07</v>
      </c>
      <c r="E7" s="6">
        <f>__D1</f>
        <v>4.096</v>
      </c>
      <c r="F7" s="6">
        <f>'前部弦圧入力'!G4</f>
        <v>2.07</v>
      </c>
      <c r="G7" s="1">
        <f t="shared" si="5"/>
        <v>0.09167328633490071</v>
      </c>
      <c r="H7" s="1">
        <f t="shared" si="6"/>
        <v>0.09167328633490071</v>
      </c>
      <c r="I7" s="10">
        <v>75</v>
      </c>
      <c r="J7" s="1">
        <f t="shared" si="0"/>
        <v>0.12000000000000671</v>
      </c>
      <c r="K7" s="1">
        <f t="shared" si="1"/>
        <v>0.12000000000000671</v>
      </c>
      <c r="L7" s="1">
        <f t="shared" si="7"/>
        <v>0.24000000000001342</v>
      </c>
      <c r="M7" s="79">
        <f>'補正値の入力'!C$6</f>
        <v>1.2</v>
      </c>
      <c r="N7" s="79">
        <f t="shared" si="8"/>
        <v>1.2</v>
      </c>
      <c r="O7" s="79">
        <f t="shared" si="9"/>
        <v>2.2</v>
      </c>
      <c r="P7" s="2">
        <f t="shared" si="2"/>
        <v>0.9599999999999865</v>
      </c>
      <c r="Q7" s="52"/>
      <c r="R7" s="53">
        <v>143</v>
      </c>
      <c r="S7" s="54"/>
      <c r="T7" s="58"/>
      <c r="U7" s="2">
        <f t="shared" si="3"/>
        <v>-1.8303999999999743</v>
      </c>
      <c r="V7" s="11">
        <f>IF(U7&gt;=0,MROUND(U7,0.25),IF(U7&lt;0,MROUND(U7,-0.25)))</f>
        <v>-1.75</v>
      </c>
      <c r="W7" s="61">
        <f t="shared" si="4"/>
        <v>1.1578321678321812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</row>
    <row r="8" spans="1:109" s="13" customFormat="1" ht="11.25" customHeight="1">
      <c r="A8" s="60" t="s">
        <v>25</v>
      </c>
      <c r="B8" s="6">
        <v>7</v>
      </c>
      <c r="C8" s="6">
        <f>_Es1</f>
        <v>4.096</v>
      </c>
      <c r="D8" s="6">
        <f>'後部弦圧入力'!H4</f>
        <v>2.07</v>
      </c>
      <c r="E8" s="6">
        <f>__Es1</f>
        <v>4.096</v>
      </c>
      <c r="F8" s="6">
        <f>'前部弦圧入力'!H4</f>
        <v>2.07</v>
      </c>
      <c r="G8" s="1">
        <f t="shared" si="5"/>
        <v>0.09167328633490071</v>
      </c>
      <c r="H8" s="1">
        <f t="shared" si="6"/>
        <v>0.09167328633490071</v>
      </c>
      <c r="I8" s="10">
        <v>75</v>
      </c>
      <c r="J8" s="1">
        <f t="shared" si="0"/>
        <v>0.12000000000000671</v>
      </c>
      <c r="K8" s="1">
        <f t="shared" si="1"/>
        <v>0.12000000000000671</v>
      </c>
      <c r="L8" s="1">
        <f t="shared" si="7"/>
        <v>0.24000000000001342</v>
      </c>
      <c r="M8" s="79">
        <f>'補正値の入力'!C$6</f>
        <v>1.2</v>
      </c>
      <c r="N8" s="79">
        <f t="shared" si="8"/>
        <v>1.2</v>
      </c>
      <c r="O8" s="79">
        <f t="shared" si="9"/>
        <v>2.2</v>
      </c>
      <c r="P8" s="2">
        <f t="shared" si="2"/>
        <v>0.9599999999999865</v>
      </c>
      <c r="Q8" s="52"/>
      <c r="R8" s="53">
        <v>150</v>
      </c>
      <c r="S8" s="54"/>
      <c r="T8" s="58"/>
      <c r="U8" s="2">
        <f t="shared" si="3"/>
        <v>-1.919999999999973</v>
      </c>
      <c r="V8" s="11">
        <f>IF(U8&gt;=0,MROUND(U8,0.25),IF(U8&lt;0,MROUND(U8,-0.25)))</f>
        <v>-2</v>
      </c>
      <c r="W8" s="61">
        <f t="shared" si="4"/>
        <v>1.2400000000000135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</row>
    <row r="9" spans="1:109" s="13" customFormat="1" ht="11.25" customHeight="1">
      <c r="A9" s="60" t="s">
        <v>26</v>
      </c>
      <c r="B9" s="6">
        <v>8</v>
      </c>
      <c r="C9" s="6">
        <f>_E1</f>
        <v>4.096</v>
      </c>
      <c r="D9" s="6">
        <f>'後部弦圧入力'!I4</f>
        <v>2.07</v>
      </c>
      <c r="E9" s="6">
        <f>__E1</f>
        <v>4.096</v>
      </c>
      <c r="F9" s="6">
        <f>'前部弦圧入力'!I4</f>
        <v>2.07</v>
      </c>
      <c r="G9" s="1">
        <f t="shared" si="5"/>
        <v>0.09167328633490071</v>
      </c>
      <c r="H9" s="1">
        <f t="shared" si="6"/>
        <v>0.09167328633490071</v>
      </c>
      <c r="I9" s="10">
        <v>75</v>
      </c>
      <c r="J9" s="1">
        <f t="shared" si="0"/>
        <v>0.12000000000000671</v>
      </c>
      <c r="K9" s="1">
        <f t="shared" si="1"/>
        <v>0.12000000000000671</v>
      </c>
      <c r="L9" s="1">
        <f t="shared" si="7"/>
        <v>0.24000000000001342</v>
      </c>
      <c r="M9" s="79">
        <f>'補正値の入力'!C$6</f>
        <v>1.2</v>
      </c>
      <c r="N9" s="79">
        <f t="shared" si="8"/>
        <v>1.2</v>
      </c>
      <c r="O9" s="79">
        <f t="shared" si="9"/>
        <v>2.2</v>
      </c>
      <c r="P9" s="2">
        <f t="shared" si="2"/>
        <v>0.9599999999999865</v>
      </c>
      <c r="Q9" s="52"/>
      <c r="R9" s="53">
        <v>157</v>
      </c>
      <c r="S9" s="54"/>
      <c r="T9" s="58"/>
      <c r="U9" s="2">
        <f t="shared" si="3"/>
        <v>-2.009599999999972</v>
      </c>
      <c r="V9" s="11">
        <f>IF(U9&gt;=0,MROUND(U9,0.25),IF(U9&lt;0,MROUND(U9,-0.25)))</f>
        <v>-2</v>
      </c>
      <c r="W9" s="61">
        <f t="shared" si="4"/>
        <v>1.1954140127388668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</row>
    <row r="10" spans="1:109" s="13" customFormat="1" ht="11.25">
      <c r="A10" s="60" t="s">
        <v>27</v>
      </c>
      <c r="B10" s="6">
        <v>9</v>
      </c>
      <c r="C10" s="6">
        <f>_F1</f>
        <v>4.096</v>
      </c>
      <c r="D10" s="6">
        <f>'後部弦圧入力'!J4</f>
        <v>2.07</v>
      </c>
      <c r="E10" s="6">
        <f>__F1</f>
        <v>4.096</v>
      </c>
      <c r="F10" s="6">
        <f>'前部弦圧入力'!J4</f>
        <v>2.07</v>
      </c>
      <c r="G10" s="1">
        <f t="shared" si="5"/>
        <v>0.09167328633490071</v>
      </c>
      <c r="H10" s="1">
        <f t="shared" si="6"/>
        <v>0.09167328633490071</v>
      </c>
      <c r="I10" s="10">
        <v>75</v>
      </c>
      <c r="J10" s="1">
        <f t="shared" si="0"/>
        <v>0.12000000000000671</v>
      </c>
      <c r="K10" s="1">
        <f t="shared" si="1"/>
        <v>0.12000000000000671</v>
      </c>
      <c r="L10" s="1">
        <f t="shared" si="7"/>
        <v>0.24000000000001342</v>
      </c>
      <c r="M10" s="79">
        <f>'補正値の入力'!C$6</f>
        <v>1.2</v>
      </c>
      <c r="N10" s="79">
        <f t="shared" si="8"/>
        <v>1.2</v>
      </c>
      <c r="O10" s="79">
        <f t="shared" si="9"/>
        <v>2.2</v>
      </c>
      <c r="P10" s="2">
        <f t="shared" si="2"/>
        <v>0.9599999999999865</v>
      </c>
      <c r="Q10" s="52"/>
      <c r="R10" s="53">
        <v>163</v>
      </c>
      <c r="S10" s="54"/>
      <c r="T10" s="58"/>
      <c r="U10" s="2">
        <f t="shared" si="3"/>
        <v>-2.0863999999999705</v>
      </c>
      <c r="V10" s="11">
        <f>IF(U10&gt;=0,MROUND(U10,0.25),IF(U10&lt;0,MROUND(U10,-0.25)))</f>
        <v>-2</v>
      </c>
      <c r="W10" s="61">
        <f t="shared" si="4"/>
        <v>1.1602453987730197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</row>
    <row r="11" spans="1:109" s="13" customFormat="1" ht="11.25" customHeight="1">
      <c r="A11" s="60" t="s">
        <v>28</v>
      </c>
      <c r="B11" s="6">
        <v>10</v>
      </c>
      <c r="C11" s="6">
        <f>_Fis1</f>
        <v>4.096</v>
      </c>
      <c r="D11" s="6">
        <f>'後部弦圧入力'!K4</f>
        <v>2.07</v>
      </c>
      <c r="E11" s="6">
        <f>__Fis1</f>
        <v>4.096</v>
      </c>
      <c r="F11" s="6">
        <f>'前部弦圧入力'!K4</f>
        <v>2.07</v>
      </c>
      <c r="G11" s="1">
        <f t="shared" si="5"/>
        <v>0.09167328633490071</v>
      </c>
      <c r="H11" s="1">
        <f t="shared" si="6"/>
        <v>0.09167328633490071</v>
      </c>
      <c r="I11" s="10">
        <v>75</v>
      </c>
      <c r="J11" s="1">
        <f t="shared" si="0"/>
        <v>0.12000000000000671</v>
      </c>
      <c r="K11" s="1">
        <f t="shared" si="1"/>
        <v>0.12000000000000671</v>
      </c>
      <c r="L11" s="1">
        <f t="shared" si="7"/>
        <v>0.24000000000001342</v>
      </c>
      <c r="M11" s="79">
        <f>'補正値の入力'!C$6</f>
        <v>1.2</v>
      </c>
      <c r="N11" s="79">
        <f t="shared" si="8"/>
        <v>1.2</v>
      </c>
      <c r="O11" s="79">
        <f t="shared" si="9"/>
        <v>2.2</v>
      </c>
      <c r="P11" s="2">
        <f t="shared" si="2"/>
        <v>0.9599999999999865</v>
      </c>
      <c r="Q11" s="52"/>
      <c r="R11" s="53">
        <v>168</v>
      </c>
      <c r="S11" s="54"/>
      <c r="T11" s="58"/>
      <c r="U11" s="2">
        <f t="shared" si="3"/>
        <v>-2.1503999999999697</v>
      </c>
      <c r="V11" s="11">
        <f>IF(U11&gt;=0,MROUND(U11,0.25),IF(U11&lt;0,MROUND(U11,-0.25)))</f>
        <v>-2.25</v>
      </c>
      <c r="W11" s="61">
        <f t="shared" si="4"/>
        <v>1.2444642857142991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</row>
    <row r="12" spans="1:109" s="13" customFormat="1" ht="11.25" customHeight="1">
      <c r="A12" s="60" t="s">
        <v>29</v>
      </c>
      <c r="B12" s="6">
        <v>11</v>
      </c>
      <c r="C12" s="6">
        <f>_G1</f>
        <v>4.096</v>
      </c>
      <c r="D12" s="6">
        <f>'後部弦圧入力'!L4</f>
        <v>2.07</v>
      </c>
      <c r="E12" s="6">
        <f>__G1</f>
        <v>4.096</v>
      </c>
      <c r="F12" s="6">
        <f>'前部弦圧入力'!L4</f>
        <v>2.07</v>
      </c>
      <c r="G12" s="1">
        <f t="shared" si="5"/>
        <v>0.09167328633490071</v>
      </c>
      <c r="H12" s="1">
        <f t="shared" si="6"/>
        <v>0.09167328633490071</v>
      </c>
      <c r="I12" s="10">
        <v>75</v>
      </c>
      <c r="J12" s="1">
        <f t="shared" si="0"/>
        <v>0.12000000000000671</v>
      </c>
      <c r="K12" s="1">
        <f t="shared" si="1"/>
        <v>0.12000000000000671</v>
      </c>
      <c r="L12" s="1">
        <f t="shared" si="7"/>
        <v>0.24000000000001342</v>
      </c>
      <c r="M12" s="79">
        <f>'補正値の入力'!C$6</f>
        <v>1.2</v>
      </c>
      <c r="N12" s="79">
        <f t="shared" si="8"/>
        <v>1.2</v>
      </c>
      <c r="O12" s="79">
        <f t="shared" si="9"/>
        <v>2.2</v>
      </c>
      <c r="P12" s="2">
        <f t="shared" si="2"/>
        <v>0.9599999999999865</v>
      </c>
      <c r="Q12" s="52"/>
      <c r="R12" s="53">
        <v>173</v>
      </c>
      <c r="S12" s="54"/>
      <c r="T12" s="58"/>
      <c r="U12" s="2">
        <f t="shared" si="3"/>
        <v>-2.2143999999999693</v>
      </c>
      <c r="V12" s="11">
        <f>IF(U12&gt;=0,MROUND(U12,0.25),IF(U12&lt;0,MROUND(U12,-0.25)))</f>
        <v>-2.25</v>
      </c>
      <c r="W12" s="61">
        <f t="shared" si="4"/>
        <v>1.2154335260115743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</row>
    <row r="13" spans="1:109" s="13" customFormat="1" ht="11.25">
      <c r="A13" s="60" t="s">
        <v>30</v>
      </c>
      <c r="B13" s="6">
        <v>12</v>
      </c>
      <c r="C13" s="6">
        <f>_Gis1</f>
        <v>4.096</v>
      </c>
      <c r="D13" s="6">
        <f>'後部弦圧入力'!M4</f>
        <v>2.07</v>
      </c>
      <c r="E13" s="6">
        <f>__Gis1</f>
        <v>4.096</v>
      </c>
      <c r="F13" s="6">
        <f>'前部弦圧入力'!M4</f>
        <v>2.07</v>
      </c>
      <c r="G13" s="1">
        <f t="shared" si="5"/>
        <v>0.09167328633490071</v>
      </c>
      <c r="H13" s="1">
        <f t="shared" si="6"/>
        <v>0.09167328633490071</v>
      </c>
      <c r="I13" s="10">
        <v>75</v>
      </c>
      <c r="J13" s="1">
        <f t="shared" si="0"/>
        <v>0.12000000000000671</v>
      </c>
      <c r="K13" s="1">
        <f t="shared" si="1"/>
        <v>0.12000000000000671</v>
      </c>
      <c r="L13" s="1">
        <f t="shared" si="7"/>
        <v>0.24000000000001342</v>
      </c>
      <c r="M13" s="79">
        <f>'補正値の入力'!C$6</f>
        <v>1.2</v>
      </c>
      <c r="N13" s="79">
        <f t="shared" si="8"/>
        <v>1.2</v>
      </c>
      <c r="O13" s="79">
        <f t="shared" si="9"/>
        <v>2.2</v>
      </c>
      <c r="P13" s="2">
        <f t="shared" si="2"/>
        <v>0.9599999999999865</v>
      </c>
      <c r="Q13" s="52"/>
      <c r="R13" s="53">
        <v>173</v>
      </c>
      <c r="S13" s="54"/>
      <c r="T13" s="58"/>
      <c r="U13" s="2">
        <f t="shared" si="3"/>
        <v>-2.2143999999999693</v>
      </c>
      <c r="V13" s="11">
        <f>IF(U13&gt;=0,MROUND(U13,0.25),IF(U13&lt;0,MROUND(U13,-0.25)))</f>
        <v>-2.25</v>
      </c>
      <c r="W13" s="61">
        <f t="shared" si="4"/>
        <v>1.2154335260115743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</row>
    <row r="14" spans="1:109" s="13" customFormat="1" ht="11.25">
      <c r="A14" s="60" t="s">
        <v>31</v>
      </c>
      <c r="B14" s="6">
        <v>13</v>
      </c>
      <c r="C14" s="6">
        <f>_A2</f>
        <v>4.096</v>
      </c>
      <c r="D14" s="6">
        <f>'後部弦圧入力'!N4</f>
        <v>2.07</v>
      </c>
      <c r="E14" s="6">
        <f>__A2</f>
        <v>4.096</v>
      </c>
      <c r="F14" s="6">
        <f>'前部弦圧入力'!N4</f>
        <v>2.07</v>
      </c>
      <c r="G14" s="1">
        <f t="shared" si="5"/>
        <v>0.09167328633490071</v>
      </c>
      <c r="H14" s="1">
        <f t="shared" si="6"/>
        <v>0.09167328633490071</v>
      </c>
      <c r="I14" s="10">
        <v>75</v>
      </c>
      <c r="J14" s="1">
        <f t="shared" si="0"/>
        <v>0.12000000000000671</v>
      </c>
      <c r="K14" s="1">
        <f t="shared" si="1"/>
        <v>0.12000000000000671</v>
      </c>
      <c r="L14" s="1">
        <f t="shared" si="7"/>
        <v>0.24000000000001342</v>
      </c>
      <c r="M14" s="79">
        <f>'補正値の入力'!C$6</f>
        <v>1.2</v>
      </c>
      <c r="N14" s="79">
        <f t="shared" si="8"/>
        <v>1.2</v>
      </c>
      <c r="O14" s="79">
        <f t="shared" si="9"/>
        <v>2.2</v>
      </c>
      <c r="P14" s="2">
        <f t="shared" si="2"/>
        <v>0.9599999999999865</v>
      </c>
      <c r="Q14" s="52"/>
      <c r="R14" s="53">
        <v>174.5</v>
      </c>
      <c r="S14" s="54"/>
      <c r="T14" s="58"/>
      <c r="U14" s="2">
        <f t="shared" si="3"/>
        <v>-2.2335999999999685</v>
      </c>
      <c r="V14" s="11">
        <f>IF(U14&gt;=0,MROUND(U14,0.25),IF(U14&lt;0,MROUND(U14,-0.25)))</f>
        <v>-2.25</v>
      </c>
      <c r="W14" s="61">
        <f t="shared" si="4"/>
        <v>1.2070487106017325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</row>
    <row r="15" spans="1:109" s="13" customFormat="1" ht="11.25" customHeight="1">
      <c r="A15" s="60" t="s">
        <v>32</v>
      </c>
      <c r="B15" s="6">
        <v>14</v>
      </c>
      <c r="C15" s="6">
        <f>_B2</f>
        <v>4.096</v>
      </c>
      <c r="D15" s="6">
        <f>'後部弦圧入力'!O4</f>
        <v>2.07</v>
      </c>
      <c r="E15" s="6">
        <f>__B2</f>
        <v>4.096</v>
      </c>
      <c r="F15" s="6">
        <f>'前部弦圧入力'!O4</f>
        <v>2.07</v>
      </c>
      <c r="G15" s="1">
        <f t="shared" si="5"/>
        <v>0.09167328633490071</v>
      </c>
      <c r="H15" s="1">
        <f t="shared" si="6"/>
        <v>0.09167328633490071</v>
      </c>
      <c r="I15" s="10">
        <v>75</v>
      </c>
      <c r="J15" s="1">
        <f t="shared" si="0"/>
        <v>0.12000000000000671</v>
      </c>
      <c r="K15" s="1">
        <f t="shared" si="1"/>
        <v>0.12000000000000671</v>
      </c>
      <c r="L15" s="1">
        <f t="shared" si="7"/>
        <v>0.24000000000001342</v>
      </c>
      <c r="M15" s="79">
        <f>'補正値の入力'!C$6</f>
        <v>1.2</v>
      </c>
      <c r="N15" s="79">
        <f t="shared" si="8"/>
        <v>1.2</v>
      </c>
      <c r="O15" s="79">
        <f t="shared" si="9"/>
        <v>2.2</v>
      </c>
      <c r="P15" s="2">
        <f t="shared" si="2"/>
        <v>0.9599999999999865</v>
      </c>
      <c r="Q15" s="52"/>
      <c r="R15" s="53">
        <v>177</v>
      </c>
      <c r="S15" s="54"/>
      <c r="T15" s="58"/>
      <c r="U15" s="2">
        <f t="shared" si="3"/>
        <v>-2.2655999999999685</v>
      </c>
      <c r="V15" s="11">
        <f>IF(U15&gt;=0,MROUND(U15,0.25),IF(U15&lt;0,MROUND(U15,-0.25)))</f>
        <v>-2.25</v>
      </c>
      <c r="W15" s="61">
        <f t="shared" si="4"/>
        <v>1.193389830508488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</row>
    <row r="16" spans="1:109" s="13" customFormat="1" ht="11.25" customHeight="1">
      <c r="A16" s="60" t="s">
        <v>33</v>
      </c>
      <c r="B16" s="6">
        <v>15</v>
      </c>
      <c r="C16" s="6">
        <f>_H2</f>
        <v>4.096</v>
      </c>
      <c r="D16" s="6">
        <f>'後部弦圧入力'!P4</f>
        <v>2.07</v>
      </c>
      <c r="E16" s="6">
        <f>__H2</f>
        <v>4.096</v>
      </c>
      <c r="F16" s="6">
        <f>'前部弦圧入力'!P4</f>
        <v>2.07</v>
      </c>
      <c r="G16" s="1">
        <f t="shared" si="5"/>
        <v>0.09167328633490071</v>
      </c>
      <c r="H16" s="1">
        <f t="shared" si="6"/>
        <v>0.09167328633490071</v>
      </c>
      <c r="I16" s="10">
        <v>75</v>
      </c>
      <c r="J16" s="1">
        <f t="shared" si="0"/>
        <v>0.12000000000000671</v>
      </c>
      <c r="K16" s="1">
        <f t="shared" si="1"/>
        <v>0.12000000000000671</v>
      </c>
      <c r="L16" s="1">
        <f t="shared" si="7"/>
        <v>0.24000000000001342</v>
      </c>
      <c r="M16" s="79">
        <f>'補正値の入力'!C$6</f>
        <v>1.2</v>
      </c>
      <c r="N16" s="79">
        <f t="shared" si="8"/>
        <v>1.2</v>
      </c>
      <c r="O16" s="79">
        <f t="shared" si="9"/>
        <v>2.2</v>
      </c>
      <c r="P16" s="2">
        <f t="shared" si="2"/>
        <v>0.9599999999999865</v>
      </c>
      <c r="Q16" s="52"/>
      <c r="R16" s="53">
        <v>176</v>
      </c>
      <c r="S16" s="54"/>
      <c r="T16" s="58"/>
      <c r="U16" s="2">
        <f t="shared" si="3"/>
        <v>-2.252799999999968</v>
      </c>
      <c r="V16" s="11">
        <f>IF(U16&gt;=0,MROUND(U16,0.25),IF(U16&lt;0,MROUND(U16,-0.25)))</f>
        <v>-2.25</v>
      </c>
      <c r="W16" s="61">
        <f t="shared" si="4"/>
        <v>1.1988068181818317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</row>
    <row r="17" spans="1:109" s="13" customFormat="1" ht="11.25">
      <c r="A17" s="60" t="s">
        <v>34</v>
      </c>
      <c r="B17" s="6">
        <v>16</v>
      </c>
      <c r="C17" s="6">
        <f>_C2</f>
        <v>4.096</v>
      </c>
      <c r="D17" s="6">
        <f>'後部弦圧入力'!Q4</f>
        <v>2.07</v>
      </c>
      <c r="E17" s="6">
        <f>__C2</f>
        <v>4.096</v>
      </c>
      <c r="F17" s="6">
        <f>'前部弦圧入力'!Q4</f>
        <v>2.07</v>
      </c>
      <c r="G17" s="1">
        <f t="shared" si="5"/>
        <v>0.09167328633490071</v>
      </c>
      <c r="H17" s="1">
        <f t="shared" si="6"/>
        <v>0.09167328633490071</v>
      </c>
      <c r="I17" s="10">
        <v>75</v>
      </c>
      <c r="J17" s="1">
        <f t="shared" si="0"/>
        <v>0.12000000000000671</v>
      </c>
      <c r="K17" s="1">
        <f t="shared" si="1"/>
        <v>0.12000000000000671</v>
      </c>
      <c r="L17" s="1">
        <f t="shared" si="7"/>
        <v>0.24000000000001342</v>
      </c>
      <c r="M17" s="79">
        <f>'補正値の入力'!C$6</f>
        <v>1.2</v>
      </c>
      <c r="N17" s="79">
        <f t="shared" si="8"/>
        <v>1.2</v>
      </c>
      <c r="O17" s="79">
        <f t="shared" si="9"/>
        <v>2.2</v>
      </c>
      <c r="P17" s="2">
        <f t="shared" si="2"/>
        <v>0.9599999999999865</v>
      </c>
      <c r="Q17" s="52"/>
      <c r="R17" s="53">
        <v>170.5</v>
      </c>
      <c r="S17" s="54"/>
      <c r="T17" s="58"/>
      <c r="U17" s="2">
        <f t="shared" si="3"/>
        <v>-2.1823999999999693</v>
      </c>
      <c r="V17" s="11">
        <f>IF(U17&gt;=0,MROUND(U17,0.25),IF(U17&lt;0,MROUND(U17,-0.25)))</f>
        <v>-2.25</v>
      </c>
      <c r="W17" s="61">
        <f t="shared" si="4"/>
        <v>1.2297360703812452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</row>
    <row r="18" spans="1:109" s="13" customFormat="1" ht="11.25" customHeight="1">
      <c r="A18" s="60" t="s">
        <v>35</v>
      </c>
      <c r="B18" s="6">
        <v>17</v>
      </c>
      <c r="C18" s="6">
        <f>_Cis2</f>
        <v>4.096</v>
      </c>
      <c r="D18" s="6">
        <f>'後部弦圧入力'!R4</f>
        <v>2.07</v>
      </c>
      <c r="E18" s="6">
        <f>__Cis2</f>
        <v>4.096</v>
      </c>
      <c r="F18" s="6">
        <f>'前部弦圧入力'!R4</f>
        <v>2.07</v>
      </c>
      <c r="G18" s="1">
        <f t="shared" si="5"/>
        <v>0.09167328633490071</v>
      </c>
      <c r="H18" s="1">
        <f t="shared" si="6"/>
        <v>0.09167328633490071</v>
      </c>
      <c r="I18" s="10">
        <v>75</v>
      </c>
      <c r="J18" s="1">
        <f t="shared" si="0"/>
        <v>0.12000000000000671</v>
      </c>
      <c r="K18" s="1">
        <f t="shared" si="1"/>
        <v>0.12000000000000671</v>
      </c>
      <c r="L18" s="1">
        <f t="shared" si="7"/>
        <v>0.24000000000001342</v>
      </c>
      <c r="M18" s="79">
        <f>'補正値の入力'!C$6</f>
        <v>1.2</v>
      </c>
      <c r="N18" s="79">
        <f t="shared" si="8"/>
        <v>1.2</v>
      </c>
      <c r="O18" s="79">
        <f t="shared" si="9"/>
        <v>2.2</v>
      </c>
      <c r="P18" s="2">
        <f t="shared" si="2"/>
        <v>0.9599999999999865</v>
      </c>
      <c r="Q18" s="52"/>
      <c r="R18" s="53">
        <v>166</v>
      </c>
      <c r="S18" s="54"/>
      <c r="T18" s="58"/>
      <c r="U18" s="2">
        <f t="shared" si="3"/>
        <v>-2.1247999999999703</v>
      </c>
      <c r="V18" s="11">
        <f>IF(U18&gt;=0,MROUND(U18,0.25),IF(U18&lt;0,MROUND(U18,-0.25)))</f>
        <v>-2</v>
      </c>
      <c r="W18" s="61">
        <f t="shared" si="4"/>
        <v>1.1436144578313387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</row>
    <row r="19" spans="1:109" s="13" customFormat="1" ht="11.25" customHeight="1">
      <c r="A19" s="60" t="s">
        <v>36</v>
      </c>
      <c r="B19" s="6">
        <v>18</v>
      </c>
      <c r="C19" s="6">
        <f>_D2</f>
        <v>4.096</v>
      </c>
      <c r="D19" s="6">
        <f>'後部弦圧入力'!S4</f>
        <v>2.07</v>
      </c>
      <c r="E19" s="6">
        <f>__D2</f>
        <v>4.096</v>
      </c>
      <c r="F19" s="6">
        <f>'前部弦圧入力'!S4</f>
        <v>2.07</v>
      </c>
      <c r="G19" s="1">
        <f t="shared" si="5"/>
        <v>0.09167328633490071</v>
      </c>
      <c r="H19" s="1">
        <f t="shared" si="6"/>
        <v>0.09167328633490071</v>
      </c>
      <c r="I19" s="10">
        <v>75</v>
      </c>
      <c r="J19" s="1">
        <f t="shared" si="0"/>
        <v>0.12000000000000671</v>
      </c>
      <c r="K19" s="1">
        <f t="shared" si="1"/>
        <v>0.12000000000000671</v>
      </c>
      <c r="L19" s="1">
        <f t="shared" si="7"/>
        <v>0.24000000000001342</v>
      </c>
      <c r="M19" s="79">
        <f>'補正値の入力'!C$6</f>
        <v>1.2</v>
      </c>
      <c r="N19" s="79">
        <f t="shared" si="8"/>
        <v>1.2</v>
      </c>
      <c r="O19" s="79">
        <f t="shared" si="9"/>
        <v>2.2</v>
      </c>
      <c r="P19" s="2">
        <f t="shared" si="2"/>
        <v>0.9599999999999865</v>
      </c>
      <c r="Q19" s="52"/>
      <c r="R19" s="53">
        <v>159</v>
      </c>
      <c r="S19" s="54"/>
      <c r="T19" s="58"/>
      <c r="U19" s="2">
        <f t="shared" si="3"/>
        <v>-2.0351999999999713</v>
      </c>
      <c r="V19" s="11">
        <f>IF(U19&gt;=0,MROUND(U19,0.25),IF(U19&lt;0,MROUND(U19,-0.25)))</f>
        <v>-2</v>
      </c>
      <c r="W19" s="61">
        <f t="shared" si="4"/>
        <v>1.1833962264151077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</row>
    <row r="20" spans="1:109" s="13" customFormat="1" ht="11.25">
      <c r="A20" s="60" t="s">
        <v>37</v>
      </c>
      <c r="B20" s="6">
        <v>19</v>
      </c>
      <c r="C20" s="6">
        <f>_Es2</f>
        <v>4.096</v>
      </c>
      <c r="D20" s="6">
        <f>'後部弦圧入力'!T4</f>
        <v>2.07</v>
      </c>
      <c r="E20" s="6">
        <f>__Es2</f>
        <v>4.096</v>
      </c>
      <c r="F20" s="6">
        <f>'前部弦圧入力'!T4</f>
        <v>2.07</v>
      </c>
      <c r="G20" s="1">
        <f t="shared" si="5"/>
        <v>0.09167328633490071</v>
      </c>
      <c r="H20" s="1">
        <f t="shared" si="6"/>
        <v>0.09167328633490071</v>
      </c>
      <c r="I20" s="10">
        <v>75</v>
      </c>
      <c r="J20" s="1">
        <f t="shared" si="0"/>
        <v>0.12000000000000671</v>
      </c>
      <c r="K20" s="1">
        <f t="shared" si="1"/>
        <v>0.12000000000000671</v>
      </c>
      <c r="L20" s="1">
        <f t="shared" si="7"/>
        <v>0.24000000000001342</v>
      </c>
      <c r="M20" s="79">
        <f>'補正値の入力'!C$6</f>
        <v>1.2</v>
      </c>
      <c r="N20" s="79">
        <f t="shared" si="8"/>
        <v>1.2</v>
      </c>
      <c r="O20" s="79">
        <f t="shared" si="9"/>
        <v>2.2</v>
      </c>
      <c r="P20" s="2">
        <f t="shared" si="2"/>
        <v>0.9599999999999865</v>
      </c>
      <c r="Q20" s="52"/>
      <c r="R20" s="53">
        <v>150.5</v>
      </c>
      <c r="S20" s="54"/>
      <c r="T20" s="58"/>
      <c r="U20" s="2">
        <f t="shared" si="3"/>
        <v>-1.926399999999973</v>
      </c>
      <c r="V20" s="11">
        <f>IF(U20&gt;=0,MROUND(U20,0.25),IF(U20&lt;0,MROUND(U20,-0.25)))</f>
        <v>-2</v>
      </c>
      <c r="W20" s="61">
        <f t="shared" si="4"/>
        <v>1.2366777408638008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</row>
    <row r="21" spans="1:109" s="13" customFormat="1" ht="11.25" customHeight="1">
      <c r="A21" s="60" t="s">
        <v>38</v>
      </c>
      <c r="B21" s="6">
        <v>20</v>
      </c>
      <c r="C21" s="6">
        <f>_E2</f>
        <v>4.096</v>
      </c>
      <c r="D21" s="6">
        <f>'後部弦圧入力'!U4</f>
        <v>2.07</v>
      </c>
      <c r="E21" s="6">
        <f>__E2</f>
        <v>4.096</v>
      </c>
      <c r="F21" s="6">
        <f>'前部弦圧入力'!U4</f>
        <v>2.07</v>
      </c>
      <c r="G21" s="1">
        <f t="shared" si="5"/>
        <v>0.09167328633490071</v>
      </c>
      <c r="H21" s="1">
        <f t="shared" si="6"/>
        <v>0.09167328633490071</v>
      </c>
      <c r="I21" s="10">
        <v>75</v>
      </c>
      <c r="J21" s="1">
        <f t="shared" si="0"/>
        <v>0.12000000000000671</v>
      </c>
      <c r="K21" s="1">
        <f t="shared" si="1"/>
        <v>0.12000000000000671</v>
      </c>
      <c r="L21" s="1">
        <f t="shared" si="7"/>
        <v>0.24000000000001342</v>
      </c>
      <c r="M21" s="79">
        <f>'補正値の入力'!C$6</f>
        <v>1.2</v>
      </c>
      <c r="N21" s="79">
        <f t="shared" si="8"/>
        <v>1.2</v>
      </c>
      <c r="O21" s="79">
        <f t="shared" si="9"/>
        <v>2.2</v>
      </c>
      <c r="P21" s="2">
        <f t="shared" si="2"/>
        <v>0.9599999999999865</v>
      </c>
      <c r="Q21" s="52"/>
      <c r="R21" s="53">
        <v>145.5</v>
      </c>
      <c r="S21" s="54"/>
      <c r="T21" s="58"/>
      <c r="U21" s="2">
        <f t="shared" si="3"/>
        <v>-1.8623999999999739</v>
      </c>
      <c r="V21" s="11">
        <f>IF(U21&gt;=0,MROUND(U21,0.25),IF(U21&lt;0,MROUND(U21,-0.25)))</f>
        <v>-1.75</v>
      </c>
      <c r="W21" s="61">
        <f t="shared" si="4"/>
        <v>1.1420618556701165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</row>
    <row r="22" spans="1:109" s="13" customFormat="1" ht="11.25" customHeight="1">
      <c r="A22" s="60" t="s">
        <v>39</v>
      </c>
      <c r="B22" s="6">
        <v>21</v>
      </c>
      <c r="C22" s="6">
        <f>_F2</f>
        <v>4.096</v>
      </c>
      <c r="D22" s="6">
        <f>'後部弦圧入力'!V4</f>
        <v>2.07</v>
      </c>
      <c r="E22" s="6">
        <f>__F2</f>
        <v>4.096</v>
      </c>
      <c r="F22" s="6">
        <f>'前部弦圧入力'!V4</f>
        <v>2.07</v>
      </c>
      <c r="G22" s="1">
        <f t="shared" si="5"/>
        <v>0.09167328633490071</v>
      </c>
      <c r="H22" s="1">
        <f t="shared" si="6"/>
        <v>0.09167328633490071</v>
      </c>
      <c r="I22" s="10">
        <v>75</v>
      </c>
      <c r="J22" s="1">
        <f t="shared" si="0"/>
        <v>0.12000000000000671</v>
      </c>
      <c r="K22" s="1">
        <f t="shared" si="1"/>
        <v>0.12000000000000671</v>
      </c>
      <c r="L22" s="1">
        <f t="shared" si="7"/>
        <v>0.24000000000001342</v>
      </c>
      <c r="M22" s="79">
        <f>'補正値の入力'!C$6</f>
        <v>1.2</v>
      </c>
      <c r="N22" s="79">
        <f t="shared" si="8"/>
        <v>1.2</v>
      </c>
      <c r="O22" s="79">
        <f t="shared" si="9"/>
        <v>2.2</v>
      </c>
      <c r="P22" s="2">
        <f t="shared" si="2"/>
        <v>0.9599999999999865</v>
      </c>
      <c r="Q22" s="52"/>
      <c r="R22" s="53">
        <v>99</v>
      </c>
      <c r="S22" s="54"/>
      <c r="T22" s="58"/>
      <c r="U22" s="2">
        <f t="shared" si="3"/>
        <v>-1.2671999999999823</v>
      </c>
      <c r="V22" s="11">
        <f>IF(U22&gt;=0,MROUND(U22,0.25),IF(U22&lt;0,MROUND(U22,-0.25)))</f>
        <v>-1.25</v>
      </c>
      <c r="W22" s="61">
        <f t="shared" si="4"/>
        <v>1.1869696969697103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</row>
    <row r="23" spans="1:109" s="13" customFormat="1" ht="11.25">
      <c r="A23" s="60" t="s">
        <v>40</v>
      </c>
      <c r="B23" s="6">
        <v>22</v>
      </c>
      <c r="C23" s="6">
        <f>_Fis2</f>
        <v>4.096</v>
      </c>
      <c r="D23" s="6">
        <f>'後部弦圧入力'!W4</f>
        <v>2.07</v>
      </c>
      <c r="E23" s="6">
        <f>__Fis2</f>
        <v>4.096</v>
      </c>
      <c r="F23" s="6">
        <f>'前部弦圧入力'!W4</f>
        <v>2.07</v>
      </c>
      <c r="G23" s="1">
        <f t="shared" si="5"/>
        <v>0.09167328633490071</v>
      </c>
      <c r="H23" s="1">
        <f t="shared" si="6"/>
        <v>0.09167328633490071</v>
      </c>
      <c r="I23" s="10">
        <v>75</v>
      </c>
      <c r="J23" s="1">
        <f t="shared" si="0"/>
        <v>0.12000000000000671</v>
      </c>
      <c r="K23" s="1">
        <f t="shared" si="1"/>
        <v>0.12000000000000671</v>
      </c>
      <c r="L23" s="1">
        <f t="shared" si="7"/>
        <v>0.24000000000001342</v>
      </c>
      <c r="M23" s="79">
        <f>'補正値の入力'!C$6</f>
        <v>1.2</v>
      </c>
      <c r="N23" s="79">
        <f t="shared" si="8"/>
        <v>1.2</v>
      </c>
      <c r="O23" s="79">
        <f t="shared" si="9"/>
        <v>2.2</v>
      </c>
      <c r="P23" s="2">
        <f t="shared" si="2"/>
        <v>0.9599999999999865</v>
      </c>
      <c r="Q23" s="52"/>
      <c r="R23" s="53">
        <v>146</v>
      </c>
      <c r="S23" s="54"/>
      <c r="T23" s="58"/>
      <c r="U23" s="2">
        <f t="shared" si="3"/>
        <v>-1.8687999999999738</v>
      </c>
      <c r="V23" s="11">
        <f>IF(U23&gt;=0,MROUND(U23,0.25),IF(U23&lt;0,MROUND(U23,-0.25)))</f>
        <v>-1.75</v>
      </c>
      <c r="W23" s="61">
        <f t="shared" si="4"/>
        <v>1.1389726027397393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</row>
    <row r="24" spans="1:109" s="13" customFormat="1" ht="11.25">
      <c r="A24" s="60" t="s">
        <v>41</v>
      </c>
      <c r="B24" s="6">
        <v>23</v>
      </c>
      <c r="C24" s="6">
        <f>_G2</f>
        <v>4.096</v>
      </c>
      <c r="D24" s="6">
        <f>'後部弦圧入力'!X4</f>
        <v>2.07</v>
      </c>
      <c r="E24" s="6">
        <f>__G2</f>
        <v>4.096</v>
      </c>
      <c r="F24" s="6">
        <f>'前部弦圧入力'!X4</f>
        <v>2.07</v>
      </c>
      <c r="G24" s="1">
        <f t="shared" si="5"/>
        <v>0.09167328633490071</v>
      </c>
      <c r="H24" s="1">
        <f t="shared" si="6"/>
        <v>0.09167328633490071</v>
      </c>
      <c r="I24" s="10">
        <v>75</v>
      </c>
      <c r="J24" s="1">
        <f t="shared" si="0"/>
        <v>0.12000000000000671</v>
      </c>
      <c r="K24" s="1">
        <f t="shared" si="1"/>
        <v>0.12000000000000671</v>
      </c>
      <c r="L24" s="1">
        <f t="shared" si="7"/>
        <v>0.24000000000001342</v>
      </c>
      <c r="M24" s="79">
        <f>'補正値の入力'!C$6</f>
        <v>1.2</v>
      </c>
      <c r="N24" s="79">
        <f t="shared" si="8"/>
        <v>1.2</v>
      </c>
      <c r="O24" s="79">
        <f t="shared" si="9"/>
        <v>2.2</v>
      </c>
      <c r="P24" s="2">
        <f t="shared" si="2"/>
        <v>0.9599999999999865</v>
      </c>
      <c r="Q24" s="52"/>
      <c r="R24" s="53">
        <v>177</v>
      </c>
      <c r="S24" s="54"/>
      <c r="T24" s="58"/>
      <c r="U24" s="2">
        <f t="shared" si="3"/>
        <v>-2.2655999999999685</v>
      </c>
      <c r="V24" s="11">
        <f>IF(U24&gt;=0,MROUND(U24,0.25),IF(U24&lt;0,MROUND(U24,-0.25)))</f>
        <v>-2.25</v>
      </c>
      <c r="W24" s="61">
        <f t="shared" si="4"/>
        <v>1.193389830508488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</row>
    <row r="25" spans="1:109" s="13" customFormat="1" ht="11.25" customHeight="1">
      <c r="A25" s="60" t="s">
        <v>42</v>
      </c>
      <c r="B25" s="6">
        <v>24</v>
      </c>
      <c r="C25" s="6">
        <f>_Gis2</f>
        <v>4.096</v>
      </c>
      <c r="D25" s="6">
        <f>'後部弦圧入力'!Y4</f>
        <v>2.07</v>
      </c>
      <c r="E25" s="6">
        <f>__Gis2</f>
        <v>4.096</v>
      </c>
      <c r="F25" s="6">
        <f>'前部弦圧入力'!Y4</f>
        <v>2.07</v>
      </c>
      <c r="G25" s="1">
        <f t="shared" si="5"/>
        <v>0.09167328633490071</v>
      </c>
      <c r="H25" s="1">
        <f t="shared" si="6"/>
        <v>0.09167328633490071</v>
      </c>
      <c r="I25" s="10">
        <v>75</v>
      </c>
      <c r="J25" s="1">
        <f t="shared" si="0"/>
        <v>0.12000000000000671</v>
      </c>
      <c r="K25" s="1">
        <f t="shared" si="1"/>
        <v>0.12000000000000671</v>
      </c>
      <c r="L25" s="1">
        <f t="shared" si="7"/>
        <v>0.24000000000001342</v>
      </c>
      <c r="M25" s="79">
        <f>'補正値の入力'!C$6</f>
        <v>1.2</v>
      </c>
      <c r="N25" s="79">
        <f t="shared" si="8"/>
        <v>1.2</v>
      </c>
      <c r="O25" s="79">
        <f t="shared" si="9"/>
        <v>2.2</v>
      </c>
      <c r="P25" s="2">
        <f t="shared" si="2"/>
        <v>0.9599999999999865</v>
      </c>
      <c r="Q25" s="52"/>
      <c r="R25" s="53">
        <v>206</v>
      </c>
      <c r="S25" s="54"/>
      <c r="T25" s="58"/>
      <c r="U25" s="2">
        <f t="shared" si="3"/>
        <v>-2.636799999999963</v>
      </c>
      <c r="V25" s="11">
        <f>IF(U25&gt;=0,MROUND(U25,0.25),IF(U25&lt;0,MROUND(U25,-0.25)))</f>
        <v>-2.75</v>
      </c>
      <c r="W25" s="61">
        <f t="shared" si="4"/>
        <v>1.2412135922330232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</row>
    <row r="26" spans="1:109" s="13" customFormat="1" ht="11.25" customHeight="1">
      <c r="A26" s="60" t="s">
        <v>43</v>
      </c>
      <c r="B26" s="6">
        <v>25</v>
      </c>
      <c r="C26" s="6">
        <f>_A3</f>
        <v>4.096</v>
      </c>
      <c r="D26" s="6">
        <f>'後部弦圧入力'!Z4</f>
        <v>2.07</v>
      </c>
      <c r="E26" s="6">
        <f>__A3</f>
        <v>4.096</v>
      </c>
      <c r="F26" s="6">
        <f>'前部弦圧入力'!Z4</f>
        <v>2.07</v>
      </c>
      <c r="G26" s="1">
        <f t="shared" si="5"/>
        <v>0.09167328633490071</v>
      </c>
      <c r="H26" s="1">
        <f t="shared" si="6"/>
        <v>0.09167328633490071</v>
      </c>
      <c r="I26" s="10">
        <v>75</v>
      </c>
      <c r="J26" s="1">
        <f t="shared" si="0"/>
        <v>0.12000000000000671</v>
      </c>
      <c r="K26" s="1">
        <f t="shared" si="1"/>
        <v>0.12000000000000671</v>
      </c>
      <c r="L26" s="1">
        <f t="shared" si="7"/>
        <v>0.24000000000001342</v>
      </c>
      <c r="M26" s="79">
        <f>'補正値の入力'!C$6</f>
        <v>1.2</v>
      </c>
      <c r="N26" s="79">
        <f t="shared" si="8"/>
        <v>1.2</v>
      </c>
      <c r="O26" s="79">
        <f t="shared" si="9"/>
        <v>2.2</v>
      </c>
      <c r="P26" s="2">
        <f t="shared" si="2"/>
        <v>0.9599999999999865</v>
      </c>
      <c r="Q26" s="52"/>
      <c r="R26" s="53">
        <v>238</v>
      </c>
      <c r="S26" s="54"/>
      <c r="T26" s="58"/>
      <c r="U26" s="2">
        <f t="shared" si="3"/>
        <v>-3.0463999999999576</v>
      </c>
      <c r="V26" s="11">
        <f>IF(U26&gt;=0,MROUND(U26,0.25),IF(U26&lt;0,MROUND(U26,-0.25)))</f>
        <v>-3</v>
      </c>
      <c r="W26" s="61">
        <f t="shared" si="4"/>
        <v>1.1853781512605175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</row>
    <row r="27" spans="1:109" s="13" customFormat="1" ht="11.25">
      <c r="A27" s="60" t="s">
        <v>44</v>
      </c>
      <c r="B27" s="6">
        <v>26</v>
      </c>
      <c r="C27" s="6">
        <f>_B3</f>
        <v>4.096</v>
      </c>
      <c r="D27" s="6">
        <f>'後部弦圧入力'!AA4</f>
        <v>2.07</v>
      </c>
      <c r="E27" s="6">
        <f>__B3</f>
        <v>4.096</v>
      </c>
      <c r="F27" s="6">
        <f>'前部弦圧入力'!AA4</f>
        <v>2.07</v>
      </c>
      <c r="G27" s="1">
        <f t="shared" si="5"/>
        <v>0.09167328633490071</v>
      </c>
      <c r="H27" s="1">
        <f t="shared" si="6"/>
        <v>0.09167328633490071</v>
      </c>
      <c r="I27" s="10">
        <v>75</v>
      </c>
      <c r="J27" s="1">
        <f t="shared" si="0"/>
        <v>0.12000000000000671</v>
      </c>
      <c r="K27" s="1">
        <f t="shared" si="1"/>
        <v>0.12000000000000671</v>
      </c>
      <c r="L27" s="1">
        <f t="shared" si="7"/>
        <v>0.24000000000001342</v>
      </c>
      <c r="M27" s="79">
        <f>'補正値の入力'!C$6</f>
        <v>1.2</v>
      </c>
      <c r="N27" s="79">
        <f t="shared" si="8"/>
        <v>1.2</v>
      </c>
      <c r="O27" s="79">
        <f t="shared" si="9"/>
        <v>2.2</v>
      </c>
      <c r="P27" s="2">
        <f t="shared" si="2"/>
        <v>0.9599999999999865</v>
      </c>
      <c r="Q27" s="52"/>
      <c r="R27" s="53">
        <v>261</v>
      </c>
      <c r="S27" s="54"/>
      <c r="T27" s="58"/>
      <c r="U27" s="2">
        <f t="shared" si="3"/>
        <v>-3.340799999999953</v>
      </c>
      <c r="V27" s="11">
        <f>IF(U27&gt;=0,MROUND(U27,0.25),IF(U27&lt;0,MROUND(U27,-0.25)))</f>
        <v>-3.25</v>
      </c>
      <c r="W27" s="61">
        <f t="shared" si="4"/>
        <v>1.1739080459770248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</row>
    <row r="28" spans="1:109" s="13" customFormat="1" ht="11.25" customHeight="1">
      <c r="A28" s="60" t="s">
        <v>45</v>
      </c>
      <c r="B28" s="6">
        <v>27</v>
      </c>
      <c r="C28" s="6">
        <f>_H3</f>
        <v>4.096</v>
      </c>
      <c r="D28" s="6">
        <f>'後部弦圧入力'!AB4</f>
        <v>2.07</v>
      </c>
      <c r="E28" s="6">
        <f>__H3</f>
        <v>4.096</v>
      </c>
      <c r="F28" s="6">
        <f>'前部弦圧入力'!AB4</f>
        <v>2.07</v>
      </c>
      <c r="G28" s="1">
        <f t="shared" si="5"/>
        <v>0.09167328633490071</v>
      </c>
      <c r="H28" s="1">
        <f t="shared" si="6"/>
        <v>0.09167328633490071</v>
      </c>
      <c r="I28" s="10">
        <v>75</v>
      </c>
      <c r="J28" s="1">
        <f t="shared" si="0"/>
        <v>0.12000000000000671</v>
      </c>
      <c r="K28" s="1">
        <f t="shared" si="1"/>
        <v>0.12000000000000671</v>
      </c>
      <c r="L28" s="1">
        <f t="shared" si="7"/>
        <v>0.24000000000001342</v>
      </c>
      <c r="M28" s="79">
        <f>'補正値の入力'!C$6</f>
        <v>1.2</v>
      </c>
      <c r="N28" s="79">
        <f t="shared" si="8"/>
        <v>1.2</v>
      </c>
      <c r="O28" s="79">
        <f t="shared" si="9"/>
        <v>2.2</v>
      </c>
      <c r="P28" s="2">
        <f t="shared" si="2"/>
        <v>0.9599999999999865</v>
      </c>
      <c r="Q28" s="52"/>
      <c r="R28" s="53">
        <v>279</v>
      </c>
      <c r="S28" s="54"/>
      <c r="T28" s="58"/>
      <c r="U28" s="2">
        <f t="shared" si="3"/>
        <v>-3.5711999999999495</v>
      </c>
      <c r="V28" s="11">
        <f>IF(U28&gt;=0,MROUND(U28,0.25),IF(U28&lt;0,MROUND(U28,-0.25)))</f>
        <v>-3.5</v>
      </c>
      <c r="W28" s="61">
        <f t="shared" si="4"/>
        <v>1.180860215053777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</row>
    <row r="29" spans="1:109" s="13" customFormat="1" ht="11.25" customHeight="1">
      <c r="A29" s="60" t="s">
        <v>46</v>
      </c>
      <c r="B29" s="6">
        <v>28</v>
      </c>
      <c r="C29" s="6">
        <f>_C3</f>
        <v>4.096</v>
      </c>
      <c r="D29" s="6">
        <f>'後部弦圧入力'!AC4</f>
        <v>2.07</v>
      </c>
      <c r="E29" s="6">
        <f>__C3</f>
        <v>4.096</v>
      </c>
      <c r="F29" s="6">
        <f>'前部弦圧入力'!AC4</f>
        <v>2.07</v>
      </c>
      <c r="G29" s="1">
        <f t="shared" si="5"/>
        <v>0.09167328633490071</v>
      </c>
      <c r="H29" s="1">
        <f t="shared" si="6"/>
        <v>0.09167328633490071</v>
      </c>
      <c r="I29" s="10">
        <v>75</v>
      </c>
      <c r="J29" s="1">
        <f t="shared" si="0"/>
        <v>0.12000000000000671</v>
      </c>
      <c r="K29" s="1">
        <f t="shared" si="1"/>
        <v>0.12000000000000671</v>
      </c>
      <c r="L29" s="1">
        <f t="shared" si="7"/>
        <v>0.24000000000001342</v>
      </c>
      <c r="M29" s="79">
        <f>'補正値の入力'!C$6</f>
        <v>1.2</v>
      </c>
      <c r="N29" s="79">
        <f t="shared" si="8"/>
        <v>1.2</v>
      </c>
      <c r="O29" s="79">
        <f t="shared" si="9"/>
        <v>2.2</v>
      </c>
      <c r="P29" s="2">
        <f t="shared" si="2"/>
        <v>0.9599999999999865</v>
      </c>
      <c r="Q29" s="52"/>
      <c r="R29" s="53">
        <v>94</v>
      </c>
      <c r="S29" s="54"/>
      <c r="T29" s="58"/>
      <c r="U29" s="2">
        <f t="shared" si="3"/>
        <v>-1.2031999999999832</v>
      </c>
      <c r="V29" s="11">
        <f>IF(U29&gt;=0,MROUND(U29,0.25),IF(U29&lt;0,MROUND(U29,-0.25)))</f>
        <v>-1.25</v>
      </c>
      <c r="W29" s="61">
        <f t="shared" si="4"/>
        <v>1.2373404255319285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</row>
    <row r="30" spans="1:109" s="13" customFormat="1" ht="11.25">
      <c r="A30" s="60" t="s">
        <v>47</v>
      </c>
      <c r="B30" s="6">
        <v>29</v>
      </c>
      <c r="C30" s="6">
        <f>_Cis3</f>
        <v>4.096</v>
      </c>
      <c r="D30" s="6">
        <f>'後部弦圧入力'!AD4</f>
        <v>2.07</v>
      </c>
      <c r="E30" s="6">
        <f>__Cis3</f>
        <v>4.096</v>
      </c>
      <c r="F30" s="6">
        <f>'前部弦圧入力'!AD4</f>
        <v>2.07</v>
      </c>
      <c r="G30" s="1">
        <f t="shared" si="5"/>
        <v>0.09167328633490071</v>
      </c>
      <c r="H30" s="1">
        <f t="shared" si="6"/>
        <v>0.09167328633490071</v>
      </c>
      <c r="I30" s="10">
        <v>75</v>
      </c>
      <c r="J30" s="1">
        <f t="shared" si="0"/>
        <v>0.12000000000000671</v>
      </c>
      <c r="K30" s="1">
        <f t="shared" si="1"/>
        <v>0.12000000000000671</v>
      </c>
      <c r="L30" s="1">
        <f t="shared" si="7"/>
        <v>0.24000000000001342</v>
      </c>
      <c r="M30" s="79">
        <f>'補正値の入力'!C$6</f>
        <v>1.2</v>
      </c>
      <c r="N30" s="79">
        <f t="shared" si="8"/>
        <v>1.2</v>
      </c>
      <c r="O30" s="79">
        <f t="shared" si="9"/>
        <v>2.2</v>
      </c>
      <c r="P30" s="2">
        <f t="shared" si="2"/>
        <v>0.9599999999999865</v>
      </c>
      <c r="Q30" s="52"/>
      <c r="R30" s="53">
        <v>156</v>
      </c>
      <c r="S30" s="54"/>
      <c r="T30" s="58"/>
      <c r="U30" s="2">
        <f t="shared" si="3"/>
        <v>-1.996799999999972</v>
      </c>
      <c r="V30" s="11">
        <f>IF(U30&gt;=0,MROUND(U30,0.25),IF(U30&lt;0,MROUND(U30,-0.25)))</f>
        <v>-2</v>
      </c>
      <c r="W30" s="61">
        <f t="shared" si="4"/>
        <v>1.201538461538475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</row>
    <row r="31" spans="1:109" s="13" customFormat="1" ht="11.25">
      <c r="A31" s="60" t="s">
        <v>48</v>
      </c>
      <c r="B31" s="6">
        <v>30</v>
      </c>
      <c r="C31" s="6">
        <f>_D3</f>
        <v>4.096</v>
      </c>
      <c r="D31" s="6">
        <f>'後部弦圧入力'!AE4</f>
        <v>2.07</v>
      </c>
      <c r="E31" s="6">
        <f>__D3</f>
        <v>4.096</v>
      </c>
      <c r="F31" s="6">
        <f>'前部弦圧入力'!AE4</f>
        <v>2.07</v>
      </c>
      <c r="G31" s="1">
        <f t="shared" si="5"/>
        <v>0.09167328633490071</v>
      </c>
      <c r="H31" s="1">
        <f t="shared" si="6"/>
        <v>0.09167328633490071</v>
      </c>
      <c r="I31" s="10">
        <v>75</v>
      </c>
      <c r="J31" s="1">
        <f t="shared" si="0"/>
        <v>0.12000000000000671</v>
      </c>
      <c r="K31" s="1">
        <f t="shared" si="1"/>
        <v>0.12000000000000671</v>
      </c>
      <c r="L31" s="1">
        <f t="shared" si="7"/>
        <v>0.24000000000001342</v>
      </c>
      <c r="M31" s="79">
        <f>'補正値の入力'!C$6</f>
        <v>1.2</v>
      </c>
      <c r="N31" s="79">
        <f t="shared" si="8"/>
        <v>1.2</v>
      </c>
      <c r="O31" s="79">
        <f t="shared" si="9"/>
        <v>2.2</v>
      </c>
      <c r="P31" s="2">
        <f t="shared" si="2"/>
        <v>0.9599999999999865</v>
      </c>
      <c r="Q31" s="52"/>
      <c r="R31" s="53">
        <v>207</v>
      </c>
      <c r="S31" s="54"/>
      <c r="T31" s="58"/>
      <c r="U31" s="2">
        <f t="shared" si="3"/>
        <v>-2.6495999999999627</v>
      </c>
      <c r="V31" s="11">
        <f>IF(U31&gt;=0,MROUND(U31,0.25),IF(U31&lt;0,MROUND(U31,-0.25)))</f>
        <v>-2.75</v>
      </c>
      <c r="W31" s="61">
        <f t="shared" si="4"/>
        <v>1.2363768115942162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</row>
    <row r="32" spans="1:109" s="13" customFormat="1" ht="11.25" customHeight="1">
      <c r="A32" s="60" t="s">
        <v>49</v>
      </c>
      <c r="B32" s="6">
        <v>31</v>
      </c>
      <c r="C32" s="6">
        <f>_Es3</f>
        <v>4.096</v>
      </c>
      <c r="D32" s="6">
        <f>'後部弦圧入力'!AF4</f>
        <v>2.07</v>
      </c>
      <c r="E32" s="6">
        <f>__Es3</f>
        <v>4.096</v>
      </c>
      <c r="F32" s="6">
        <f>'前部弦圧入力'!AF4</f>
        <v>2.07</v>
      </c>
      <c r="G32" s="1">
        <f t="shared" si="5"/>
        <v>0.09167328633490071</v>
      </c>
      <c r="H32" s="1">
        <f t="shared" si="6"/>
        <v>0.09167328633490071</v>
      </c>
      <c r="I32" s="10">
        <v>75</v>
      </c>
      <c r="J32" s="1">
        <f t="shared" si="0"/>
        <v>0.12000000000000671</v>
      </c>
      <c r="K32" s="1">
        <f t="shared" si="1"/>
        <v>0.12000000000000671</v>
      </c>
      <c r="L32" s="1">
        <f t="shared" si="7"/>
        <v>0.24000000000001342</v>
      </c>
      <c r="M32" s="79">
        <f>'補正値の入力'!C$6</f>
        <v>1.2</v>
      </c>
      <c r="N32" s="79">
        <f t="shared" si="8"/>
        <v>1.2</v>
      </c>
      <c r="O32" s="79">
        <f t="shared" si="9"/>
        <v>2.2</v>
      </c>
      <c r="P32" s="2">
        <f t="shared" si="2"/>
        <v>0.9599999999999865</v>
      </c>
      <c r="Q32" s="52"/>
      <c r="R32" s="53">
        <v>205</v>
      </c>
      <c r="S32" s="54"/>
      <c r="T32" s="58"/>
      <c r="U32" s="2">
        <f t="shared" si="3"/>
        <v>-2.623999999999963</v>
      </c>
      <c r="V32" s="11">
        <f>IF(U32&gt;=0,MROUND(U32,0.25),IF(U32&lt;0,MROUND(U32,-0.25)))</f>
        <v>-2.5</v>
      </c>
      <c r="W32" s="61">
        <f t="shared" si="4"/>
        <v>1.1546341463414769</v>
      </c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</row>
    <row r="33" spans="1:109" s="13" customFormat="1" ht="11.25" customHeight="1">
      <c r="A33" s="60" t="s">
        <v>50</v>
      </c>
      <c r="B33" s="6">
        <v>32</v>
      </c>
      <c r="C33" s="6">
        <f>_E3</f>
        <v>4.096</v>
      </c>
      <c r="D33" s="6">
        <f>'後部弦圧入力'!AG4</f>
        <v>2.07</v>
      </c>
      <c r="E33" s="6">
        <f>__E3</f>
        <v>4.096</v>
      </c>
      <c r="F33" s="6">
        <f>'前部弦圧入力'!AG4</f>
        <v>2.07</v>
      </c>
      <c r="G33" s="1">
        <f t="shared" si="5"/>
        <v>0.09167328633490071</v>
      </c>
      <c r="H33" s="1">
        <f t="shared" si="6"/>
        <v>0.09167328633490071</v>
      </c>
      <c r="I33" s="10">
        <v>75</v>
      </c>
      <c r="J33" s="1">
        <f t="shared" si="0"/>
        <v>0.12000000000000671</v>
      </c>
      <c r="K33" s="1">
        <f t="shared" si="1"/>
        <v>0.12000000000000671</v>
      </c>
      <c r="L33" s="1">
        <f t="shared" si="7"/>
        <v>0.24000000000001342</v>
      </c>
      <c r="M33" s="79">
        <f>'補正値の入力'!C$6</f>
        <v>1.2</v>
      </c>
      <c r="N33" s="79">
        <f t="shared" si="8"/>
        <v>1.2</v>
      </c>
      <c r="O33" s="79">
        <f t="shared" si="9"/>
        <v>2.2</v>
      </c>
      <c r="P33" s="2">
        <f t="shared" si="2"/>
        <v>0.9599999999999865</v>
      </c>
      <c r="Q33" s="52"/>
      <c r="R33" s="53">
        <v>200</v>
      </c>
      <c r="S33" s="54"/>
      <c r="T33" s="58"/>
      <c r="U33" s="2">
        <f t="shared" si="3"/>
        <v>-2.559999999999964</v>
      </c>
      <c r="V33" s="11">
        <f>IF(U33&gt;=0,MROUND(U33,0.25),IF(U33&lt;0,MROUND(U33,-0.25)))</f>
        <v>-2.5</v>
      </c>
      <c r="W33" s="61">
        <f t="shared" si="4"/>
        <v>1.1775000000000135</v>
      </c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</row>
    <row r="34" spans="1:109" s="13" customFormat="1" ht="11.25">
      <c r="A34" s="60" t="s">
        <v>51</v>
      </c>
      <c r="B34" s="6">
        <v>33</v>
      </c>
      <c r="C34" s="6">
        <f>_F3</f>
        <v>4.096</v>
      </c>
      <c r="D34" s="6">
        <f>'後部弦圧入力'!AH4</f>
        <v>2.07</v>
      </c>
      <c r="E34" s="6">
        <f>__F3</f>
        <v>4.096</v>
      </c>
      <c r="F34" s="6">
        <f>'前部弦圧入力'!AH4</f>
        <v>2.07</v>
      </c>
      <c r="G34" s="1">
        <f t="shared" si="5"/>
        <v>0.09167328633490071</v>
      </c>
      <c r="H34" s="1">
        <f t="shared" si="6"/>
        <v>0.09167328633490071</v>
      </c>
      <c r="I34" s="10">
        <v>75</v>
      </c>
      <c r="J34" s="1">
        <f aca="true" t="shared" si="10" ref="J34:J65">-(IF((3.5&lt;C34),補正値X*I34*((D34-オフセットX1)-オフセットX2),IF((3.5&lt;D34),(オフセットYU-_A1)*補正値YU*I34,(C34-オフセットYL)*補正値YL*I34)))</f>
        <v>0.12000000000000671</v>
      </c>
      <c r="K34" s="1">
        <f aca="true" t="shared" si="11" ref="K34:K65">-(IF((3.5&lt;E34),補正値X*I34*((F34-オフセットX1)-オフセットX2),IF((3.5&lt;F34),(オフセットYU-E34)*補正値YU*I34,(E34-オフセットYL)*補正値YL*I34)))</f>
        <v>0.12000000000000671</v>
      </c>
      <c r="L34" s="1">
        <f aca="true" t="shared" si="12" ref="L34:L65">J34+K34</f>
        <v>0.24000000000001342</v>
      </c>
      <c r="M34" s="79">
        <f>'補正値の入力'!C$6</f>
        <v>1.2</v>
      </c>
      <c r="N34" s="79">
        <f t="shared" si="8"/>
        <v>1.2</v>
      </c>
      <c r="O34" s="79">
        <f t="shared" si="9"/>
        <v>2.2</v>
      </c>
      <c r="P34" s="2">
        <f aca="true" t="shared" si="13" ref="P34:P65">M34-L34</f>
        <v>0.9599999999999865</v>
      </c>
      <c r="Q34" s="52"/>
      <c r="R34" s="53">
        <v>199</v>
      </c>
      <c r="S34" s="54"/>
      <c r="T34" s="58"/>
      <c r="U34" s="2">
        <f t="shared" si="3"/>
        <v>-2.547199999999964</v>
      </c>
      <c r="V34" s="11">
        <f>IF(U34&gt;=0,MROUND(U34,0.25),IF(U34&lt;0,MROUND(U34,-0.25)))</f>
        <v>-2.5</v>
      </c>
      <c r="W34" s="61">
        <f t="shared" si="4"/>
        <v>1.1822110552763954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</row>
    <row r="35" spans="1:109" s="13" customFormat="1" ht="11.25" customHeight="1">
      <c r="A35" s="60" t="s">
        <v>52</v>
      </c>
      <c r="B35" s="6">
        <v>34</v>
      </c>
      <c r="C35" s="6">
        <f>_Fis3</f>
        <v>4.096</v>
      </c>
      <c r="D35" s="6">
        <f>'後部弦圧入力'!AI4</f>
        <v>2.07</v>
      </c>
      <c r="E35" s="6">
        <f>__Fis3</f>
        <v>4.096</v>
      </c>
      <c r="F35" s="6">
        <f>'前部弦圧入力'!AI4</f>
        <v>2.07</v>
      </c>
      <c r="G35" s="1">
        <f t="shared" si="5"/>
        <v>0.09167328633490071</v>
      </c>
      <c r="H35" s="1">
        <f t="shared" si="6"/>
        <v>0.09167328633490071</v>
      </c>
      <c r="I35" s="10">
        <v>75</v>
      </c>
      <c r="J35" s="1">
        <f t="shared" si="10"/>
        <v>0.12000000000000671</v>
      </c>
      <c r="K35" s="1">
        <f t="shared" si="11"/>
        <v>0.12000000000000671</v>
      </c>
      <c r="L35" s="1">
        <f t="shared" si="12"/>
        <v>0.24000000000001342</v>
      </c>
      <c r="M35" s="79">
        <f>'補正値の入力'!C$6</f>
        <v>1.2</v>
      </c>
      <c r="N35" s="79">
        <f t="shared" si="8"/>
        <v>1.2</v>
      </c>
      <c r="O35" s="79">
        <f t="shared" si="9"/>
        <v>2.2</v>
      </c>
      <c r="P35" s="2">
        <f t="shared" si="13"/>
        <v>0.9599999999999865</v>
      </c>
      <c r="Q35" s="52"/>
      <c r="R35" s="53">
        <v>188</v>
      </c>
      <c r="S35" s="54"/>
      <c r="T35" s="58"/>
      <c r="U35" s="2">
        <f t="shared" si="3"/>
        <v>-2.4063999999999663</v>
      </c>
      <c r="V35" s="11">
        <f>IF(U35&gt;=0,MROUND(U35,0.25),IF(U35&lt;0,MROUND(U35,-0.25)))</f>
        <v>-2.5</v>
      </c>
      <c r="W35" s="61">
        <f t="shared" si="4"/>
        <v>1.2373404255319285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</row>
    <row r="36" spans="1:109" s="13" customFormat="1" ht="11.25" customHeight="1">
      <c r="A36" s="60" t="s">
        <v>53</v>
      </c>
      <c r="B36" s="6">
        <v>35</v>
      </c>
      <c r="C36" s="6">
        <f>_G3</f>
        <v>4.096</v>
      </c>
      <c r="D36" s="6">
        <f>'後部弦圧入力'!AJ4</f>
        <v>2.07</v>
      </c>
      <c r="E36" s="6">
        <f>__G3</f>
        <v>4.096</v>
      </c>
      <c r="F36" s="6">
        <f>'前部弦圧入力'!AJ4</f>
        <v>2.07</v>
      </c>
      <c r="G36" s="1">
        <f t="shared" si="5"/>
        <v>0.09167328633490071</v>
      </c>
      <c r="H36" s="1">
        <f t="shared" si="6"/>
        <v>0.09167328633490071</v>
      </c>
      <c r="I36" s="10">
        <v>75</v>
      </c>
      <c r="J36" s="1">
        <f t="shared" si="10"/>
        <v>0.12000000000000671</v>
      </c>
      <c r="K36" s="1">
        <f t="shared" si="11"/>
        <v>0.12000000000000671</v>
      </c>
      <c r="L36" s="1">
        <f t="shared" si="12"/>
        <v>0.24000000000001342</v>
      </c>
      <c r="M36" s="79">
        <f>'補正値の入力'!C$6</f>
        <v>1.2</v>
      </c>
      <c r="N36" s="79">
        <f t="shared" si="8"/>
        <v>1.2</v>
      </c>
      <c r="O36" s="79">
        <f t="shared" si="9"/>
        <v>2.2</v>
      </c>
      <c r="P36" s="2">
        <f t="shared" si="13"/>
        <v>0.9599999999999865</v>
      </c>
      <c r="Q36" s="52"/>
      <c r="R36" s="53">
        <v>184</v>
      </c>
      <c r="S36" s="54"/>
      <c r="T36" s="58"/>
      <c r="U36" s="2">
        <f t="shared" si="3"/>
        <v>-2.3551999999999667</v>
      </c>
      <c r="V36" s="11">
        <f>IF(U36&gt;=0,MROUND(U36,0.25),IF(U36&lt;0,MROUND(U36,-0.25)))</f>
        <v>-2.25</v>
      </c>
      <c r="W36" s="61">
        <f t="shared" si="4"/>
        <v>1.1571195652174047</v>
      </c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</row>
    <row r="37" spans="1:109" s="13" customFormat="1" ht="11.25">
      <c r="A37" s="60" t="s">
        <v>54</v>
      </c>
      <c r="B37" s="6">
        <v>36</v>
      </c>
      <c r="C37" s="6">
        <f>_Gis3</f>
        <v>4.096</v>
      </c>
      <c r="D37" s="6">
        <f>'後部弦圧入力'!AK4</f>
        <v>2.07</v>
      </c>
      <c r="E37" s="6">
        <f>__Gis3</f>
        <v>4.096</v>
      </c>
      <c r="F37" s="6">
        <f>'前部弦圧入力'!AK4</f>
        <v>2.07</v>
      </c>
      <c r="G37" s="1">
        <f t="shared" si="5"/>
        <v>0.09167328633490071</v>
      </c>
      <c r="H37" s="1">
        <f t="shared" si="6"/>
        <v>0.09167328633490071</v>
      </c>
      <c r="I37" s="10">
        <v>75</v>
      </c>
      <c r="J37" s="1">
        <f t="shared" si="10"/>
        <v>0.12000000000000671</v>
      </c>
      <c r="K37" s="1">
        <f t="shared" si="11"/>
        <v>0.12000000000000671</v>
      </c>
      <c r="L37" s="1">
        <f t="shared" si="12"/>
        <v>0.24000000000001342</v>
      </c>
      <c r="M37" s="79">
        <f>'補正値の入力'!C$6</f>
        <v>1.2</v>
      </c>
      <c r="N37" s="79">
        <f t="shared" si="8"/>
        <v>1.2</v>
      </c>
      <c r="O37" s="79">
        <f t="shared" si="9"/>
        <v>2.2</v>
      </c>
      <c r="P37" s="2">
        <f t="shared" si="13"/>
        <v>0.9599999999999865</v>
      </c>
      <c r="Q37" s="52"/>
      <c r="R37" s="53">
        <v>169</v>
      </c>
      <c r="S37" s="54"/>
      <c r="T37" s="58"/>
      <c r="U37" s="2">
        <f t="shared" si="3"/>
        <v>-2.1631999999999696</v>
      </c>
      <c r="V37" s="11">
        <f>IF(U37&gt;=0,MROUND(U37,0.25),IF(U37&lt;0,MROUND(U37,-0.25)))</f>
        <v>-2.25</v>
      </c>
      <c r="W37" s="61">
        <f t="shared" si="4"/>
        <v>1.238520710059185</v>
      </c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</row>
    <row r="38" spans="1:109" s="13" customFormat="1" ht="11.25" customHeight="1">
      <c r="A38" s="60" t="s">
        <v>55</v>
      </c>
      <c r="B38" s="6">
        <v>37</v>
      </c>
      <c r="C38" s="6">
        <f>_A4</f>
        <v>4.096</v>
      </c>
      <c r="D38" s="6">
        <f>'後部弦圧入力'!AL4</f>
        <v>2.07</v>
      </c>
      <c r="E38" s="6">
        <f>__A4</f>
        <v>4.096</v>
      </c>
      <c r="F38" s="6">
        <f>'前部弦圧入力'!AL4</f>
        <v>2.07</v>
      </c>
      <c r="G38" s="1">
        <f t="shared" si="5"/>
        <v>0.09167328633490071</v>
      </c>
      <c r="H38" s="1">
        <f t="shared" si="6"/>
        <v>0.09167328633490071</v>
      </c>
      <c r="I38" s="10">
        <v>75</v>
      </c>
      <c r="J38" s="1">
        <f t="shared" si="10"/>
        <v>0.12000000000000671</v>
      </c>
      <c r="K38" s="1">
        <f t="shared" si="11"/>
        <v>0.12000000000000671</v>
      </c>
      <c r="L38" s="1">
        <f t="shared" si="12"/>
        <v>0.24000000000001342</v>
      </c>
      <c r="M38" s="79">
        <f>'補正値の入力'!C$6</f>
        <v>1.2</v>
      </c>
      <c r="N38" s="79">
        <f t="shared" si="8"/>
        <v>1.2</v>
      </c>
      <c r="O38" s="79">
        <f t="shared" si="9"/>
        <v>2.2</v>
      </c>
      <c r="P38" s="2">
        <f t="shared" si="13"/>
        <v>0.9599999999999865</v>
      </c>
      <c r="Q38" s="52"/>
      <c r="R38" s="53">
        <v>163</v>
      </c>
      <c r="S38" s="54"/>
      <c r="T38" s="58"/>
      <c r="U38" s="2">
        <f t="shared" si="3"/>
        <v>-2.0863999999999705</v>
      </c>
      <c r="V38" s="11">
        <f>IF(U38&gt;=0,MROUND(U38,0.25),IF(U38&lt;0,MROUND(U38,-0.25)))</f>
        <v>-2</v>
      </c>
      <c r="W38" s="61">
        <f t="shared" si="4"/>
        <v>1.1602453987730197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</row>
    <row r="39" spans="1:109" s="13" customFormat="1" ht="11.25" customHeight="1">
      <c r="A39" s="60" t="s">
        <v>56</v>
      </c>
      <c r="B39" s="6">
        <v>38</v>
      </c>
      <c r="C39" s="6">
        <f>_B4</f>
        <v>4.096</v>
      </c>
      <c r="D39" s="6">
        <f>'後部弦圧入力'!AM4</f>
        <v>2.07</v>
      </c>
      <c r="E39" s="6">
        <f>__B4</f>
        <v>4.096</v>
      </c>
      <c r="F39" s="6">
        <f>'前部弦圧入力'!AM4</f>
        <v>2.07</v>
      </c>
      <c r="G39" s="1">
        <f t="shared" si="5"/>
        <v>0.09167328633490071</v>
      </c>
      <c r="H39" s="1">
        <f t="shared" si="6"/>
        <v>0.09167328633490071</v>
      </c>
      <c r="I39" s="10">
        <v>75</v>
      </c>
      <c r="J39" s="1">
        <f t="shared" si="10"/>
        <v>0.12000000000000671</v>
      </c>
      <c r="K39" s="1">
        <f t="shared" si="11"/>
        <v>0.12000000000000671</v>
      </c>
      <c r="L39" s="1">
        <f t="shared" si="12"/>
        <v>0.24000000000001342</v>
      </c>
      <c r="M39" s="79">
        <f>'補正値の入力'!C$6</f>
        <v>1.2</v>
      </c>
      <c r="N39" s="79">
        <f t="shared" si="8"/>
        <v>1.2</v>
      </c>
      <c r="O39" s="79">
        <f t="shared" si="9"/>
        <v>2.2</v>
      </c>
      <c r="P39" s="2">
        <f t="shared" si="13"/>
        <v>0.9599999999999865</v>
      </c>
      <c r="Q39" s="52"/>
      <c r="R39" s="53">
        <v>143</v>
      </c>
      <c r="S39" s="54"/>
      <c r="T39" s="58"/>
      <c r="U39" s="2">
        <f t="shared" si="3"/>
        <v>-1.8303999999999743</v>
      </c>
      <c r="V39" s="11">
        <f>IF(U39&gt;=0,MROUND(U39,0.25),IF(U39&lt;0,MROUND(U39,-0.25)))</f>
        <v>-1.75</v>
      </c>
      <c r="W39" s="61">
        <f t="shared" si="4"/>
        <v>1.1578321678321812</v>
      </c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</row>
    <row r="40" spans="1:109" s="13" customFormat="1" ht="11.25">
      <c r="A40" s="60" t="s">
        <v>57</v>
      </c>
      <c r="B40" s="6">
        <v>39</v>
      </c>
      <c r="C40" s="6">
        <f>_H4</f>
        <v>4.096</v>
      </c>
      <c r="D40" s="6">
        <f>'後部弦圧入力'!AN4</f>
        <v>2.07</v>
      </c>
      <c r="E40" s="6">
        <f>__H4</f>
        <v>4.096</v>
      </c>
      <c r="F40" s="6">
        <f>'前部弦圧入力'!AN4</f>
        <v>2.07</v>
      </c>
      <c r="G40" s="1">
        <f t="shared" si="5"/>
        <v>0.09167328633490071</v>
      </c>
      <c r="H40" s="1">
        <f t="shared" si="6"/>
        <v>0.09167328633490071</v>
      </c>
      <c r="I40" s="10">
        <v>75</v>
      </c>
      <c r="J40" s="1">
        <f t="shared" si="10"/>
        <v>0.12000000000000671</v>
      </c>
      <c r="K40" s="1">
        <f t="shared" si="11"/>
        <v>0.12000000000000671</v>
      </c>
      <c r="L40" s="1">
        <f t="shared" si="12"/>
        <v>0.24000000000001342</v>
      </c>
      <c r="M40" s="79">
        <f>'補正値の入力'!C$6</f>
        <v>1.2</v>
      </c>
      <c r="N40" s="79">
        <f t="shared" si="8"/>
        <v>1.2</v>
      </c>
      <c r="O40" s="79">
        <f t="shared" si="9"/>
        <v>2.2</v>
      </c>
      <c r="P40" s="2">
        <f t="shared" si="13"/>
        <v>0.9599999999999865</v>
      </c>
      <c r="Q40" s="52">
        <v>678</v>
      </c>
      <c r="R40" s="53">
        <v>137</v>
      </c>
      <c r="S40" s="54">
        <v>0.125</v>
      </c>
      <c r="T40" s="58">
        <v>137</v>
      </c>
      <c r="U40" s="2">
        <f aca="true" t="shared" si="14" ref="U40:U71">-P40*T40/I40</f>
        <v>-1.7535999999999754</v>
      </c>
      <c r="V40" s="11">
        <f>IF(U40&gt;=0,MROUND(U40,0.25),IF(U40&lt;0,MROUND(U40,-0.25)))</f>
        <v>-1.75</v>
      </c>
      <c r="W40" s="61">
        <f aca="true" t="shared" si="15" ref="W40:W71">L40-I40*V40/T40</f>
        <v>1.1980291970803054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</row>
    <row r="41" spans="1:109" s="13" customFormat="1" ht="11.25">
      <c r="A41" s="60" t="s">
        <v>58</v>
      </c>
      <c r="B41" s="6">
        <v>40</v>
      </c>
      <c r="C41" s="6">
        <f>_C4</f>
        <v>4.096</v>
      </c>
      <c r="D41" s="6">
        <f>'後部弦圧入力'!AO4</f>
        <v>2.07</v>
      </c>
      <c r="E41" s="6">
        <f>__C4</f>
        <v>4.096</v>
      </c>
      <c r="F41" s="6">
        <f>'前部弦圧入力'!AO4</f>
        <v>2.07</v>
      </c>
      <c r="G41" s="1">
        <f t="shared" si="5"/>
        <v>0.09167328633490071</v>
      </c>
      <c r="H41" s="1">
        <f t="shared" si="6"/>
        <v>0.09167328633490071</v>
      </c>
      <c r="I41" s="10">
        <v>75</v>
      </c>
      <c r="J41" s="1">
        <f t="shared" si="10"/>
        <v>0.12000000000000671</v>
      </c>
      <c r="K41" s="1">
        <f t="shared" si="11"/>
        <v>0.12000000000000671</v>
      </c>
      <c r="L41" s="1">
        <f t="shared" si="12"/>
        <v>0.24000000000001342</v>
      </c>
      <c r="M41" s="79">
        <f>'補正値の入力'!C$6</f>
        <v>1.2</v>
      </c>
      <c r="N41" s="79">
        <f t="shared" si="8"/>
        <v>1.2</v>
      </c>
      <c r="O41" s="79">
        <f t="shared" si="9"/>
        <v>2.2</v>
      </c>
      <c r="P41" s="2">
        <f t="shared" si="13"/>
        <v>0.9599999999999865</v>
      </c>
      <c r="Q41" s="52">
        <v>640</v>
      </c>
      <c r="R41" s="53">
        <v>657</v>
      </c>
      <c r="S41" s="54">
        <v>0.125</v>
      </c>
      <c r="T41" s="58">
        <v>657</v>
      </c>
      <c r="U41" s="2">
        <f t="shared" si="14"/>
        <v>-8.409599999999882</v>
      </c>
      <c r="V41" s="11">
        <f>IF(U41&gt;=0,MROUND(U41,0.25),IF(U41&lt;0,MROUND(U41,-0.25)))</f>
        <v>-8.5</v>
      </c>
      <c r="W41" s="61">
        <f t="shared" si="15"/>
        <v>1.2103196347032097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</row>
    <row r="42" spans="1:109" s="13" customFormat="1" ht="11.25" customHeight="1">
      <c r="A42" s="60" t="s">
        <v>59</v>
      </c>
      <c r="B42" s="6">
        <v>41</v>
      </c>
      <c r="C42" s="6">
        <f>_Cis4</f>
        <v>4.096</v>
      </c>
      <c r="D42" s="6">
        <f>'後部弦圧入力'!AP4</f>
        <v>2.07</v>
      </c>
      <c r="E42" s="6">
        <f>__Cis4</f>
        <v>4.096</v>
      </c>
      <c r="F42" s="6">
        <f>'前部弦圧入力'!AP4</f>
        <v>2.07</v>
      </c>
      <c r="G42" s="1">
        <f t="shared" si="5"/>
        <v>0.09167328633490071</v>
      </c>
      <c r="H42" s="1">
        <f t="shared" si="6"/>
        <v>0.09167328633490071</v>
      </c>
      <c r="I42" s="10">
        <v>75</v>
      </c>
      <c r="J42" s="1">
        <f t="shared" si="10"/>
        <v>0.12000000000000671</v>
      </c>
      <c r="K42" s="1">
        <f t="shared" si="11"/>
        <v>0.12000000000000671</v>
      </c>
      <c r="L42" s="1">
        <f t="shared" si="12"/>
        <v>0.24000000000001342</v>
      </c>
      <c r="M42" s="79">
        <f>'補正値の入力'!C$6</f>
        <v>1.2</v>
      </c>
      <c r="N42" s="79">
        <f t="shared" si="8"/>
        <v>1.2</v>
      </c>
      <c r="O42" s="79">
        <f t="shared" si="9"/>
        <v>2.2</v>
      </c>
      <c r="P42" s="2">
        <f t="shared" si="13"/>
        <v>0.9599999999999865</v>
      </c>
      <c r="Q42" s="52">
        <v>608</v>
      </c>
      <c r="R42" s="53">
        <v>621</v>
      </c>
      <c r="S42" s="54">
        <v>0.125</v>
      </c>
      <c r="T42" s="58">
        <v>621</v>
      </c>
      <c r="U42" s="2">
        <f t="shared" si="14"/>
        <v>-7.948799999999889</v>
      </c>
      <c r="V42" s="11">
        <f>IF(U42&gt;=0,MROUND(U42,0.25),IF(U42&lt;0,MROUND(U42,-0.25)))</f>
        <v>-8</v>
      </c>
      <c r="W42" s="61">
        <f t="shared" si="15"/>
        <v>1.2061835748792404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</row>
    <row r="43" spans="1:109" s="13" customFormat="1" ht="11.25" customHeight="1">
      <c r="A43" s="60" t="s">
        <v>60</v>
      </c>
      <c r="B43" s="6">
        <v>42</v>
      </c>
      <c r="C43" s="6">
        <f>_D4</f>
        <v>4.096</v>
      </c>
      <c r="D43" s="6">
        <f>'後部弦圧入力'!AQ4</f>
        <v>2.07</v>
      </c>
      <c r="E43" s="6">
        <f>__D4</f>
        <v>4.096</v>
      </c>
      <c r="F43" s="6">
        <f>'前部弦圧入力'!AQ4</f>
        <v>2.07</v>
      </c>
      <c r="G43" s="1">
        <f t="shared" si="5"/>
        <v>0.09167328633490071</v>
      </c>
      <c r="H43" s="1">
        <f t="shared" si="6"/>
        <v>0.09167328633490071</v>
      </c>
      <c r="I43" s="10">
        <v>75</v>
      </c>
      <c r="J43" s="1">
        <f t="shared" si="10"/>
        <v>0.12000000000000671</v>
      </c>
      <c r="K43" s="1">
        <f t="shared" si="11"/>
        <v>0.12000000000000671</v>
      </c>
      <c r="L43" s="1">
        <f t="shared" si="12"/>
        <v>0.24000000000001342</v>
      </c>
      <c r="M43" s="79">
        <f>'補正値の入力'!C$6</f>
        <v>1.2</v>
      </c>
      <c r="N43" s="79">
        <f t="shared" si="8"/>
        <v>1.2</v>
      </c>
      <c r="O43" s="79">
        <f t="shared" si="9"/>
        <v>2.2</v>
      </c>
      <c r="P43" s="2">
        <f t="shared" si="13"/>
        <v>0.9599999999999865</v>
      </c>
      <c r="Q43" s="52">
        <v>575</v>
      </c>
      <c r="R43" s="53">
        <v>588</v>
      </c>
      <c r="S43" s="54">
        <v>0.125</v>
      </c>
      <c r="T43" s="58">
        <v>588</v>
      </c>
      <c r="U43" s="2">
        <f t="shared" si="14"/>
        <v>-7.526399999999894</v>
      </c>
      <c r="V43" s="11">
        <f>IF(U43&gt;=0,MROUND(U43,0.25),IF(U43&lt;0,MROUND(U43,-0.25)))</f>
        <v>-7.5</v>
      </c>
      <c r="W43" s="61">
        <f t="shared" si="15"/>
        <v>1.196632653061238</v>
      </c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</row>
    <row r="44" spans="1:109" s="13" customFormat="1" ht="11.25">
      <c r="A44" s="60" t="s">
        <v>61</v>
      </c>
      <c r="B44" s="6">
        <v>43</v>
      </c>
      <c r="C44" s="6">
        <f>_Es4</f>
        <v>4.096</v>
      </c>
      <c r="D44" s="6">
        <f>'後部弦圧入力'!AR4</f>
        <v>2.07</v>
      </c>
      <c r="E44" s="6">
        <f>__Es4</f>
        <v>4.096</v>
      </c>
      <c r="F44" s="6">
        <f>'前部弦圧入力'!AR4</f>
        <v>2.07</v>
      </c>
      <c r="G44" s="1">
        <f t="shared" si="5"/>
        <v>0.09167328633490071</v>
      </c>
      <c r="H44" s="1">
        <f t="shared" si="6"/>
        <v>0.09167328633490071</v>
      </c>
      <c r="I44" s="10">
        <v>75</v>
      </c>
      <c r="J44" s="1">
        <f t="shared" si="10"/>
        <v>0.12000000000000671</v>
      </c>
      <c r="K44" s="1">
        <f t="shared" si="11"/>
        <v>0.12000000000000671</v>
      </c>
      <c r="L44" s="1">
        <f t="shared" si="12"/>
        <v>0.24000000000001342</v>
      </c>
      <c r="M44" s="79">
        <f>'補正値の入力'!C$6</f>
        <v>1.2</v>
      </c>
      <c r="N44" s="79">
        <f t="shared" si="8"/>
        <v>1.2</v>
      </c>
      <c r="O44" s="79">
        <f t="shared" si="9"/>
        <v>2.2</v>
      </c>
      <c r="P44" s="2">
        <f t="shared" si="13"/>
        <v>0.9599999999999865</v>
      </c>
      <c r="Q44" s="52">
        <v>543</v>
      </c>
      <c r="R44" s="53">
        <v>557</v>
      </c>
      <c r="S44" s="54">
        <v>0.125</v>
      </c>
      <c r="T44" s="58">
        <v>557</v>
      </c>
      <c r="U44" s="2">
        <f t="shared" si="14"/>
        <v>-7.1295999999999005</v>
      </c>
      <c r="V44" s="11">
        <f>IF(U44&gt;=0,MROUND(U44,0.25),IF(U44&lt;0,MROUND(U44,-0.25)))</f>
        <v>-7.25</v>
      </c>
      <c r="W44" s="61">
        <f t="shared" si="15"/>
        <v>1.216211849192114</v>
      </c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</row>
    <row r="45" spans="1:109" s="13" customFormat="1" ht="11.25" customHeight="1">
      <c r="A45" s="60" t="s">
        <v>62</v>
      </c>
      <c r="B45" s="6">
        <v>44</v>
      </c>
      <c r="C45" s="6">
        <f>_E4</f>
        <v>4.096</v>
      </c>
      <c r="D45" s="6">
        <f>'後部弦圧入力'!AS4</f>
        <v>2.07</v>
      </c>
      <c r="E45" s="6">
        <f>__E4</f>
        <v>4.096</v>
      </c>
      <c r="F45" s="6">
        <f>'前部弦圧入力'!AS4</f>
        <v>2.07</v>
      </c>
      <c r="G45" s="1">
        <f t="shared" si="5"/>
        <v>0.09167328633490071</v>
      </c>
      <c r="H45" s="1">
        <f t="shared" si="6"/>
        <v>0.09167328633490071</v>
      </c>
      <c r="I45" s="10">
        <v>75</v>
      </c>
      <c r="J45" s="1">
        <f t="shared" si="10"/>
        <v>0.12000000000000671</v>
      </c>
      <c r="K45" s="1">
        <f t="shared" si="11"/>
        <v>0.12000000000000671</v>
      </c>
      <c r="L45" s="1">
        <f t="shared" si="12"/>
        <v>0.24000000000001342</v>
      </c>
      <c r="M45" s="79">
        <f>'補正値の入力'!C$6</f>
        <v>1.2</v>
      </c>
      <c r="N45" s="79">
        <f t="shared" si="8"/>
        <v>1.2</v>
      </c>
      <c r="O45" s="79">
        <f t="shared" si="9"/>
        <v>2.2</v>
      </c>
      <c r="P45" s="2">
        <f t="shared" si="13"/>
        <v>0.9599999999999865</v>
      </c>
      <c r="Q45" s="52">
        <v>515</v>
      </c>
      <c r="R45" s="53">
        <v>524</v>
      </c>
      <c r="S45" s="54">
        <v>0.125</v>
      </c>
      <c r="T45" s="58">
        <v>524</v>
      </c>
      <c r="U45" s="2">
        <f t="shared" si="14"/>
        <v>-6.707199999999905</v>
      </c>
      <c r="V45" s="11">
        <f>IF(U45&gt;=0,MROUND(U45,0.25),IF(U45&lt;0,MROUND(U45,-0.25)))</f>
        <v>-6.75</v>
      </c>
      <c r="W45" s="61">
        <f t="shared" si="15"/>
        <v>1.2061259541984866</v>
      </c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</row>
    <row r="46" spans="1:109" s="13" customFormat="1" ht="11.25" customHeight="1">
      <c r="A46" s="60" t="s">
        <v>63</v>
      </c>
      <c r="B46" s="6">
        <v>45</v>
      </c>
      <c r="C46" s="6">
        <f>_F4</f>
        <v>4.096</v>
      </c>
      <c r="D46" s="6">
        <f>'後部弦圧入力'!AT4</f>
        <v>2.07</v>
      </c>
      <c r="E46" s="6">
        <f>__F4</f>
        <v>4.096</v>
      </c>
      <c r="F46" s="6">
        <f>'前部弦圧入力'!AT4</f>
        <v>2.07</v>
      </c>
      <c r="G46" s="1">
        <f t="shared" si="5"/>
        <v>0.09167328633490071</v>
      </c>
      <c r="H46" s="1">
        <f t="shared" si="6"/>
        <v>0.09167328633490071</v>
      </c>
      <c r="I46" s="10">
        <v>75</v>
      </c>
      <c r="J46" s="1">
        <f t="shared" si="10"/>
        <v>0.12000000000000671</v>
      </c>
      <c r="K46" s="1">
        <f t="shared" si="11"/>
        <v>0.12000000000000671</v>
      </c>
      <c r="L46" s="1">
        <f t="shared" si="12"/>
        <v>0.24000000000001342</v>
      </c>
      <c r="M46" s="79">
        <f>'補正値の入力'!C$6</f>
        <v>1.2</v>
      </c>
      <c r="N46" s="79">
        <f t="shared" si="8"/>
        <v>1.2</v>
      </c>
      <c r="O46" s="79">
        <f t="shared" si="9"/>
        <v>2.2</v>
      </c>
      <c r="P46" s="2">
        <f t="shared" si="13"/>
        <v>0.9599999999999865</v>
      </c>
      <c r="Q46" s="52">
        <v>490</v>
      </c>
      <c r="R46" s="53">
        <v>498</v>
      </c>
      <c r="S46" s="54">
        <v>0.125</v>
      </c>
      <c r="T46" s="58">
        <v>498</v>
      </c>
      <c r="U46" s="2">
        <f t="shared" si="14"/>
        <v>-6.37439999999991</v>
      </c>
      <c r="V46" s="11">
        <f>IF(U46&gt;=0,MROUND(U46,0.25),IF(U46&lt;0,MROUND(U46,-0.25)))</f>
        <v>-6.25</v>
      </c>
      <c r="W46" s="61">
        <f t="shared" si="15"/>
        <v>1.1812650602409773</v>
      </c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</row>
    <row r="47" spans="1:109" s="13" customFormat="1" ht="11.25">
      <c r="A47" s="60" t="s">
        <v>64</v>
      </c>
      <c r="B47" s="6">
        <v>46</v>
      </c>
      <c r="C47" s="6">
        <f>_Fis4</f>
        <v>4.096</v>
      </c>
      <c r="D47" s="6">
        <f>'後部弦圧入力'!AU4</f>
        <v>2.07</v>
      </c>
      <c r="E47" s="6">
        <f>__Fis4</f>
        <v>4.096</v>
      </c>
      <c r="F47" s="6">
        <f>'前部弦圧入力'!AU4</f>
        <v>2.07</v>
      </c>
      <c r="G47" s="1">
        <f t="shared" si="5"/>
        <v>0.09167328633490071</v>
      </c>
      <c r="H47" s="1">
        <f t="shared" si="6"/>
        <v>0.09167328633490071</v>
      </c>
      <c r="I47" s="10">
        <v>75</v>
      </c>
      <c r="J47" s="1">
        <f t="shared" si="10"/>
        <v>0.12000000000000671</v>
      </c>
      <c r="K47" s="1">
        <f t="shared" si="11"/>
        <v>0.12000000000000671</v>
      </c>
      <c r="L47" s="1">
        <f t="shared" si="12"/>
        <v>0.24000000000001342</v>
      </c>
      <c r="M47" s="79">
        <f>'補正値の入力'!C$6</f>
        <v>1.2</v>
      </c>
      <c r="N47" s="79">
        <f t="shared" si="8"/>
        <v>1.2</v>
      </c>
      <c r="O47" s="79">
        <f t="shared" si="9"/>
        <v>2.2</v>
      </c>
      <c r="P47" s="2">
        <f t="shared" si="13"/>
        <v>0.9599999999999865</v>
      </c>
      <c r="Q47" s="52">
        <v>465</v>
      </c>
      <c r="R47" s="53">
        <v>471</v>
      </c>
      <c r="S47" s="54">
        <v>0.125</v>
      </c>
      <c r="T47" s="58">
        <v>471</v>
      </c>
      <c r="U47" s="2">
        <f t="shared" si="14"/>
        <v>-6.028799999999915</v>
      </c>
      <c r="V47" s="11">
        <f>IF(U47&gt;=0,MROUND(U47,0.25),IF(U47&lt;0,MROUND(U47,-0.25)))</f>
        <v>-6</v>
      </c>
      <c r="W47" s="61">
        <f t="shared" si="15"/>
        <v>1.1954140127388668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</row>
    <row r="48" spans="1:109" s="13" customFormat="1" ht="11.25">
      <c r="A48" s="60" t="s">
        <v>65</v>
      </c>
      <c r="B48" s="6">
        <v>47</v>
      </c>
      <c r="C48" s="6">
        <f>_G4</f>
        <v>4.096</v>
      </c>
      <c r="D48" s="6">
        <f>'後部弦圧入力'!AV4</f>
        <v>2.07</v>
      </c>
      <c r="E48" s="6">
        <f>__G4</f>
        <v>4.096</v>
      </c>
      <c r="F48" s="6">
        <f>'前部弦圧入力'!AV4</f>
        <v>2.07</v>
      </c>
      <c r="G48" s="1">
        <f t="shared" si="5"/>
        <v>0.09167328633490071</v>
      </c>
      <c r="H48" s="1">
        <f t="shared" si="6"/>
        <v>0.09167328633490071</v>
      </c>
      <c r="I48" s="10">
        <v>75</v>
      </c>
      <c r="J48" s="1">
        <f t="shared" si="10"/>
        <v>0.12000000000000671</v>
      </c>
      <c r="K48" s="1">
        <f t="shared" si="11"/>
        <v>0.12000000000000671</v>
      </c>
      <c r="L48" s="1">
        <f t="shared" si="12"/>
        <v>0.24000000000001342</v>
      </c>
      <c r="M48" s="79">
        <f>'補正値の入力'!C$6</f>
        <v>1.2</v>
      </c>
      <c r="N48" s="79">
        <f t="shared" si="8"/>
        <v>1.2</v>
      </c>
      <c r="O48" s="79">
        <f t="shared" si="9"/>
        <v>2.2</v>
      </c>
      <c r="P48" s="2">
        <f t="shared" si="13"/>
        <v>0.9599999999999865</v>
      </c>
      <c r="Q48" s="52">
        <v>443</v>
      </c>
      <c r="R48" s="53">
        <v>447</v>
      </c>
      <c r="S48" s="54">
        <v>0.125</v>
      </c>
      <c r="T48" s="58">
        <v>447</v>
      </c>
      <c r="U48" s="2">
        <f t="shared" si="14"/>
        <v>-5.72159999999992</v>
      </c>
      <c r="V48" s="11">
        <f>IF(U48&gt;=0,MROUND(U48,0.25),IF(U48&lt;0,MROUND(U48,-0.25)))</f>
        <v>-5.75</v>
      </c>
      <c r="W48" s="61">
        <f t="shared" si="15"/>
        <v>1.2047651006711544</v>
      </c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</row>
    <row r="49" spans="1:109" s="13" customFormat="1" ht="11.25" customHeight="1">
      <c r="A49" s="60" t="s">
        <v>66</v>
      </c>
      <c r="B49" s="6">
        <v>48</v>
      </c>
      <c r="C49" s="6">
        <f>_Gis4</f>
        <v>4.096</v>
      </c>
      <c r="D49" s="6">
        <f>'後部弦圧入力'!AW4</f>
        <v>2.07</v>
      </c>
      <c r="E49" s="6">
        <f>__Gis4</f>
        <v>4.096</v>
      </c>
      <c r="F49" s="6">
        <f>'前部弦圧入力'!AW4</f>
        <v>2.07</v>
      </c>
      <c r="G49" s="1">
        <f t="shared" si="5"/>
        <v>0.09167328633490071</v>
      </c>
      <c r="H49" s="1">
        <f t="shared" si="6"/>
        <v>0.09167328633490071</v>
      </c>
      <c r="I49" s="10">
        <v>75</v>
      </c>
      <c r="J49" s="1">
        <f t="shared" si="10"/>
        <v>0.12000000000000671</v>
      </c>
      <c r="K49" s="1">
        <f t="shared" si="11"/>
        <v>0.12000000000000671</v>
      </c>
      <c r="L49" s="1">
        <f t="shared" si="12"/>
        <v>0.24000000000001342</v>
      </c>
      <c r="M49" s="79">
        <f>'補正値の入力'!C$6</f>
        <v>1.2</v>
      </c>
      <c r="N49" s="79">
        <f t="shared" si="8"/>
        <v>1.2</v>
      </c>
      <c r="O49" s="79">
        <f t="shared" si="9"/>
        <v>2.2</v>
      </c>
      <c r="P49" s="2">
        <f t="shared" si="13"/>
        <v>0.9599999999999865</v>
      </c>
      <c r="Q49" s="52">
        <v>418</v>
      </c>
      <c r="R49" s="53">
        <v>424</v>
      </c>
      <c r="S49" s="54">
        <v>0.125</v>
      </c>
      <c r="T49" s="58">
        <v>424</v>
      </c>
      <c r="U49" s="2">
        <f t="shared" si="14"/>
        <v>-5.427199999999924</v>
      </c>
      <c r="V49" s="11">
        <f>IF(U49&gt;=0,MROUND(U49,0.25),IF(U49&lt;0,MROUND(U49,-0.25)))</f>
        <v>-5.5</v>
      </c>
      <c r="W49" s="61">
        <f t="shared" si="15"/>
        <v>1.2128773584905794</v>
      </c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</row>
    <row r="50" spans="1:109" s="13" customFormat="1" ht="11.25" customHeight="1">
      <c r="A50" s="60" t="s">
        <v>67</v>
      </c>
      <c r="B50" s="6">
        <v>49</v>
      </c>
      <c r="C50" s="6">
        <f>_A5</f>
        <v>4.096</v>
      </c>
      <c r="D50" s="6">
        <f>'後部弦圧入力'!AX4</f>
        <v>2.07</v>
      </c>
      <c r="E50" s="6">
        <f>__A5</f>
        <v>4.096</v>
      </c>
      <c r="F50" s="6">
        <f>'前部弦圧入力'!AX4</f>
        <v>2.07</v>
      </c>
      <c r="G50" s="1">
        <f t="shared" si="5"/>
        <v>0.09167328633490071</v>
      </c>
      <c r="H50" s="1">
        <f t="shared" si="6"/>
        <v>0.09167328633490071</v>
      </c>
      <c r="I50" s="10">
        <v>75</v>
      </c>
      <c r="J50" s="1">
        <f t="shared" si="10"/>
        <v>0.12000000000000671</v>
      </c>
      <c r="K50" s="1">
        <f t="shared" si="11"/>
        <v>0.12000000000000671</v>
      </c>
      <c r="L50" s="1">
        <f t="shared" si="12"/>
        <v>0.24000000000001342</v>
      </c>
      <c r="M50" s="79">
        <f>'補正値の入力'!C$6</f>
        <v>1.2</v>
      </c>
      <c r="N50" s="79">
        <f t="shared" si="8"/>
        <v>1.2</v>
      </c>
      <c r="O50" s="79">
        <f t="shared" si="9"/>
        <v>2.2</v>
      </c>
      <c r="P50" s="2">
        <f t="shared" si="13"/>
        <v>0.9599999999999865</v>
      </c>
      <c r="Q50" s="52">
        <v>403</v>
      </c>
      <c r="R50" s="53">
        <v>401</v>
      </c>
      <c r="S50" s="54">
        <v>0.125</v>
      </c>
      <c r="T50" s="58">
        <v>401</v>
      </c>
      <c r="U50" s="2">
        <f t="shared" si="14"/>
        <v>-5.132799999999928</v>
      </c>
      <c r="V50" s="11">
        <f>IF(U50&gt;=0,MROUND(U50,0.25),IF(U50&lt;0,MROUND(U50,-0.25)))</f>
        <v>-5.25</v>
      </c>
      <c r="W50" s="61">
        <f t="shared" si="15"/>
        <v>1.2219201995012603</v>
      </c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</row>
    <row r="51" spans="1:109" s="13" customFormat="1" ht="11.25">
      <c r="A51" s="60" t="s">
        <v>68</v>
      </c>
      <c r="B51" s="6">
        <v>50</v>
      </c>
      <c r="C51" s="6">
        <f>_B5</f>
        <v>4.096</v>
      </c>
      <c r="D51" s="6">
        <f>'後部弦圧入力'!AY4</f>
        <v>2.07</v>
      </c>
      <c r="E51" s="6">
        <f>__B5</f>
        <v>4.096</v>
      </c>
      <c r="F51" s="6">
        <f>'前部弦圧入力'!AY4</f>
        <v>2.07</v>
      </c>
      <c r="G51" s="1">
        <f t="shared" si="5"/>
        <v>0.09167328633490071</v>
      </c>
      <c r="H51" s="1">
        <f t="shared" si="6"/>
        <v>0.09167328633490071</v>
      </c>
      <c r="I51" s="10">
        <v>75</v>
      </c>
      <c r="J51" s="1">
        <f t="shared" si="10"/>
        <v>0.12000000000000671</v>
      </c>
      <c r="K51" s="1">
        <f t="shared" si="11"/>
        <v>0.12000000000000671</v>
      </c>
      <c r="L51" s="1">
        <f t="shared" si="12"/>
        <v>0.24000000000001342</v>
      </c>
      <c r="M51" s="79">
        <f>'補正値の入力'!C$6</f>
        <v>1.2</v>
      </c>
      <c r="N51" s="79">
        <f t="shared" si="8"/>
        <v>1.2</v>
      </c>
      <c r="O51" s="79">
        <f t="shared" si="9"/>
        <v>2.2</v>
      </c>
      <c r="P51" s="2">
        <f t="shared" si="13"/>
        <v>0.9599999999999865</v>
      </c>
      <c r="Q51" s="52">
        <v>386</v>
      </c>
      <c r="R51" s="53">
        <v>384</v>
      </c>
      <c r="S51" s="54">
        <v>0.125</v>
      </c>
      <c r="T51" s="58">
        <v>384</v>
      </c>
      <c r="U51" s="2">
        <f t="shared" si="14"/>
        <v>-4.915199999999931</v>
      </c>
      <c r="V51" s="11">
        <f>IF(U51&gt;=0,MROUND(U51,0.25),IF(U51&lt;0,MROUND(U51,-0.25)))</f>
        <v>-5</v>
      </c>
      <c r="W51" s="61">
        <f t="shared" si="15"/>
        <v>1.2165625000000135</v>
      </c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</row>
    <row r="52" spans="1:109" s="13" customFormat="1" ht="11.25" customHeight="1">
      <c r="A52" s="60" t="s">
        <v>69</v>
      </c>
      <c r="B52" s="6">
        <v>51</v>
      </c>
      <c r="C52" s="6">
        <f>_H5</f>
        <v>4.096</v>
      </c>
      <c r="D52" s="6">
        <f>'後部弦圧入力'!AZ4</f>
        <v>2.07</v>
      </c>
      <c r="E52" s="6">
        <f>__H5</f>
        <v>4.096</v>
      </c>
      <c r="F52" s="6">
        <f>'前部弦圧入力'!AZ4</f>
        <v>2.07</v>
      </c>
      <c r="G52" s="1">
        <f t="shared" si="5"/>
        <v>0.09167328633490071</v>
      </c>
      <c r="H52" s="1">
        <f t="shared" si="6"/>
        <v>0.09167328633490071</v>
      </c>
      <c r="I52" s="10">
        <v>75</v>
      </c>
      <c r="J52" s="1">
        <f t="shared" si="10"/>
        <v>0.12000000000000671</v>
      </c>
      <c r="K52" s="1">
        <f t="shared" si="11"/>
        <v>0.12000000000000671</v>
      </c>
      <c r="L52" s="1">
        <f t="shared" si="12"/>
        <v>0.24000000000001342</v>
      </c>
      <c r="M52" s="79">
        <f>'補正値の入力'!C$6</f>
        <v>1.2</v>
      </c>
      <c r="N52" s="79">
        <f t="shared" si="8"/>
        <v>1.2</v>
      </c>
      <c r="O52" s="79">
        <f t="shared" si="9"/>
        <v>2.2</v>
      </c>
      <c r="P52" s="2">
        <f t="shared" si="13"/>
        <v>0.9599999999999865</v>
      </c>
      <c r="Q52" s="52">
        <v>352</v>
      </c>
      <c r="R52" s="53">
        <v>362</v>
      </c>
      <c r="S52" s="54">
        <v>0.25</v>
      </c>
      <c r="T52" s="58">
        <v>362</v>
      </c>
      <c r="U52" s="2">
        <f t="shared" si="14"/>
        <v>-4.6335999999999355</v>
      </c>
      <c r="V52" s="11">
        <f>IF(U52&gt;=0,MROUND(U52,0.25),IF(U52&lt;0,MROUND(U52,-0.25)))</f>
        <v>-4.75</v>
      </c>
      <c r="W52" s="61">
        <f t="shared" si="15"/>
        <v>1.224116022099461</v>
      </c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</row>
    <row r="53" spans="1:109" s="13" customFormat="1" ht="11.25" customHeight="1">
      <c r="A53" s="60" t="s">
        <v>70</v>
      </c>
      <c r="B53" s="6">
        <v>52</v>
      </c>
      <c r="C53" s="6">
        <f>_C5</f>
        <v>4.096</v>
      </c>
      <c r="D53" s="6">
        <f>'後部弦圧入力'!BA4</f>
        <v>2.07</v>
      </c>
      <c r="E53" s="6">
        <f>__C5</f>
        <v>4.096</v>
      </c>
      <c r="F53" s="6">
        <f>'前部弦圧入力'!BA4</f>
        <v>2.07</v>
      </c>
      <c r="G53" s="1">
        <f t="shared" si="5"/>
        <v>0.09167328633490071</v>
      </c>
      <c r="H53" s="1">
        <f t="shared" si="6"/>
        <v>0.09167328633490071</v>
      </c>
      <c r="I53" s="10">
        <v>75</v>
      </c>
      <c r="J53" s="1">
        <f t="shared" si="10"/>
        <v>0.12000000000000671</v>
      </c>
      <c r="K53" s="1">
        <f t="shared" si="11"/>
        <v>0.12000000000000671</v>
      </c>
      <c r="L53" s="1">
        <f t="shared" si="12"/>
        <v>0.24000000000001342</v>
      </c>
      <c r="M53" s="79">
        <f>'補正値の入力'!C$6</f>
        <v>1.2</v>
      </c>
      <c r="N53" s="79">
        <f t="shared" si="8"/>
        <v>1.2</v>
      </c>
      <c r="O53" s="79">
        <f t="shared" si="9"/>
        <v>2.2</v>
      </c>
      <c r="P53" s="2">
        <f t="shared" si="13"/>
        <v>0.9599999999999865</v>
      </c>
      <c r="Q53" s="52">
        <v>340</v>
      </c>
      <c r="R53" s="53">
        <v>335</v>
      </c>
      <c r="S53" s="54">
        <v>0.25</v>
      </c>
      <c r="T53" s="58">
        <v>335</v>
      </c>
      <c r="U53" s="2">
        <f t="shared" si="14"/>
        <v>-4.28799999999994</v>
      </c>
      <c r="V53" s="11">
        <f>IF(U53&gt;=0,MROUND(U53,0.25),IF(U53&lt;0,MROUND(U53,-0.25)))</f>
        <v>-4.25</v>
      </c>
      <c r="W53" s="61">
        <f t="shared" si="15"/>
        <v>1.1914925373134464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</row>
    <row r="54" spans="1:109" s="13" customFormat="1" ht="11.25">
      <c r="A54" s="60" t="s">
        <v>71</v>
      </c>
      <c r="B54" s="6">
        <v>53</v>
      </c>
      <c r="C54" s="6">
        <f>_Cis5</f>
        <v>4.096</v>
      </c>
      <c r="D54" s="6">
        <f>'後部弦圧入力'!BB4</f>
        <v>2.07</v>
      </c>
      <c r="E54" s="6">
        <f>__Cis5</f>
        <v>4.096</v>
      </c>
      <c r="F54" s="6">
        <f>'前部弦圧入力'!BB4</f>
        <v>2.07</v>
      </c>
      <c r="G54" s="1">
        <f t="shared" si="5"/>
        <v>0.09167328633490071</v>
      </c>
      <c r="H54" s="1">
        <f t="shared" si="6"/>
        <v>0.09167328633490071</v>
      </c>
      <c r="I54" s="10">
        <v>75</v>
      </c>
      <c r="J54" s="1">
        <f t="shared" si="10"/>
        <v>0.12000000000000671</v>
      </c>
      <c r="K54" s="1">
        <f t="shared" si="11"/>
        <v>0.12000000000000671</v>
      </c>
      <c r="L54" s="1">
        <f t="shared" si="12"/>
        <v>0.24000000000001342</v>
      </c>
      <c r="M54" s="79">
        <f>'補正値の入力'!C$6</f>
        <v>1.2</v>
      </c>
      <c r="N54" s="79">
        <f t="shared" si="8"/>
        <v>1.2</v>
      </c>
      <c r="O54" s="79">
        <f t="shared" si="9"/>
        <v>2.2</v>
      </c>
      <c r="P54" s="2">
        <f t="shared" si="13"/>
        <v>0.9599999999999865</v>
      </c>
      <c r="Q54" s="52">
        <v>326</v>
      </c>
      <c r="R54" s="53">
        <v>322</v>
      </c>
      <c r="S54" s="54">
        <v>0.25</v>
      </c>
      <c r="T54" s="58">
        <v>322</v>
      </c>
      <c r="U54" s="2">
        <f t="shared" si="14"/>
        <v>-4.121599999999942</v>
      </c>
      <c r="V54" s="11">
        <f>IF(U54&gt;=0,MROUND(U54,0.25),IF(U54&lt;0,MROUND(U54,-0.25)))</f>
        <v>-4</v>
      </c>
      <c r="W54" s="61">
        <f t="shared" si="15"/>
        <v>1.1716770186335537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</row>
    <row r="55" spans="1:109" s="13" customFormat="1" ht="11.25" customHeight="1">
      <c r="A55" s="60" t="s">
        <v>72</v>
      </c>
      <c r="B55" s="6">
        <v>54</v>
      </c>
      <c r="C55" s="6">
        <f>_D5</f>
        <v>4.096</v>
      </c>
      <c r="D55" s="6">
        <f>'後部弦圧入力'!BC4</f>
        <v>2.07</v>
      </c>
      <c r="E55" s="6">
        <f>__D5</f>
        <v>4.096</v>
      </c>
      <c r="F55" s="6">
        <f>'前部弦圧入力'!BC4</f>
        <v>2.07</v>
      </c>
      <c r="G55" s="1">
        <f t="shared" si="5"/>
        <v>0.09167328633490071</v>
      </c>
      <c r="H55" s="1">
        <f t="shared" si="6"/>
        <v>0.09167328633490071</v>
      </c>
      <c r="I55" s="10">
        <v>75</v>
      </c>
      <c r="J55" s="1">
        <f t="shared" si="10"/>
        <v>0.12000000000000671</v>
      </c>
      <c r="K55" s="1">
        <f t="shared" si="11"/>
        <v>0.12000000000000671</v>
      </c>
      <c r="L55" s="1">
        <f t="shared" si="12"/>
        <v>0.24000000000001342</v>
      </c>
      <c r="M55" s="79">
        <f>'補正値の入力'!C$6</f>
        <v>1.2</v>
      </c>
      <c r="N55" s="79">
        <f t="shared" si="8"/>
        <v>1.2</v>
      </c>
      <c r="O55" s="79">
        <f t="shared" si="9"/>
        <v>2.2</v>
      </c>
      <c r="P55" s="2">
        <f t="shared" si="13"/>
        <v>0.9599999999999865</v>
      </c>
      <c r="Q55" s="52">
        <v>313</v>
      </c>
      <c r="R55" s="53">
        <v>310</v>
      </c>
      <c r="S55" s="54">
        <v>0.25</v>
      </c>
      <c r="T55" s="58">
        <v>310</v>
      </c>
      <c r="U55" s="2">
        <f t="shared" si="14"/>
        <v>-3.967999999999944</v>
      </c>
      <c r="V55" s="11">
        <f>IF(U55&gt;=0,MROUND(U55,0.25),IF(U55&lt;0,MROUND(U55,-0.25)))</f>
        <v>-4</v>
      </c>
      <c r="W55" s="61">
        <f t="shared" si="15"/>
        <v>1.2077419354838845</v>
      </c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</row>
    <row r="56" spans="1:109" s="13" customFormat="1" ht="11.25" customHeight="1">
      <c r="A56" s="60" t="s">
        <v>73</v>
      </c>
      <c r="B56" s="6">
        <v>55</v>
      </c>
      <c r="C56" s="6">
        <f>_Es5</f>
        <v>4.096</v>
      </c>
      <c r="D56" s="6">
        <f>'後部弦圧入力'!BD4</f>
        <v>2.07</v>
      </c>
      <c r="E56" s="6">
        <f>__Es5</f>
        <v>4.096</v>
      </c>
      <c r="F56" s="6">
        <f>'前部弦圧入力'!BD4</f>
        <v>2.07</v>
      </c>
      <c r="G56" s="1">
        <f t="shared" si="5"/>
        <v>0.09167328633490071</v>
      </c>
      <c r="H56" s="1">
        <f t="shared" si="6"/>
        <v>0.09167328633490071</v>
      </c>
      <c r="I56" s="10">
        <v>75</v>
      </c>
      <c r="J56" s="1">
        <f t="shared" si="10"/>
        <v>0.12000000000000671</v>
      </c>
      <c r="K56" s="1">
        <f t="shared" si="11"/>
        <v>0.12000000000000671</v>
      </c>
      <c r="L56" s="1">
        <f t="shared" si="12"/>
        <v>0.24000000000001342</v>
      </c>
      <c r="M56" s="79">
        <f>'補正値の入力'!C$6</f>
        <v>1.2</v>
      </c>
      <c r="N56" s="79">
        <f t="shared" si="8"/>
        <v>1.2</v>
      </c>
      <c r="O56" s="79">
        <f t="shared" si="9"/>
        <v>2.2</v>
      </c>
      <c r="P56" s="2">
        <f t="shared" si="13"/>
        <v>0.9599999999999865</v>
      </c>
      <c r="Q56" s="52">
        <v>297</v>
      </c>
      <c r="R56" s="53">
        <v>297</v>
      </c>
      <c r="S56" s="54">
        <v>0.25</v>
      </c>
      <c r="T56" s="58">
        <v>297</v>
      </c>
      <c r="U56" s="2">
        <f t="shared" si="14"/>
        <v>-3.801599999999947</v>
      </c>
      <c r="V56" s="11">
        <f>IF(U56&gt;=0,MROUND(U56,0.25),IF(U56&lt;0,MROUND(U56,-0.25)))</f>
        <v>-3.75</v>
      </c>
      <c r="W56" s="61">
        <f t="shared" si="15"/>
        <v>1.1869696969697103</v>
      </c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</row>
    <row r="57" spans="1:109" s="13" customFormat="1" ht="11.25">
      <c r="A57" s="60" t="s">
        <v>74</v>
      </c>
      <c r="B57" s="6">
        <v>56</v>
      </c>
      <c r="C57" s="6">
        <f>_E5</f>
        <v>4.096</v>
      </c>
      <c r="D57" s="6">
        <f>'後部弦圧入力'!BE4</f>
        <v>2.07</v>
      </c>
      <c r="E57" s="6">
        <f>__E5</f>
        <v>4.096</v>
      </c>
      <c r="F57" s="6">
        <f>'前部弦圧入力'!BE4</f>
        <v>2.07</v>
      </c>
      <c r="G57" s="1">
        <f t="shared" si="5"/>
        <v>0.09167328633490071</v>
      </c>
      <c r="H57" s="1">
        <f t="shared" si="6"/>
        <v>0.09167328633490071</v>
      </c>
      <c r="I57" s="10">
        <v>75</v>
      </c>
      <c r="J57" s="1">
        <f t="shared" si="10"/>
        <v>0.12000000000000671</v>
      </c>
      <c r="K57" s="1">
        <f t="shared" si="11"/>
        <v>0.12000000000000671</v>
      </c>
      <c r="L57" s="1">
        <f t="shared" si="12"/>
        <v>0.24000000000001342</v>
      </c>
      <c r="M57" s="79">
        <f>'補正値の入力'!C$6</f>
        <v>1.2</v>
      </c>
      <c r="N57" s="79">
        <f t="shared" si="8"/>
        <v>1.2</v>
      </c>
      <c r="O57" s="79">
        <f t="shared" si="9"/>
        <v>2.2</v>
      </c>
      <c r="P57" s="2">
        <f t="shared" si="13"/>
        <v>0.9599999999999865</v>
      </c>
      <c r="Q57" s="52">
        <v>283</v>
      </c>
      <c r="R57" s="53">
        <v>284</v>
      </c>
      <c r="S57" s="54">
        <v>0.25</v>
      </c>
      <c r="T57" s="58">
        <v>284</v>
      </c>
      <c r="U57" s="2">
        <f t="shared" si="14"/>
        <v>-3.635199999999949</v>
      </c>
      <c r="V57" s="11">
        <f>IF(U57&gt;=0,MROUND(U57,0.25),IF(U57&lt;0,MROUND(U57,-0.25)))</f>
        <v>-3.75</v>
      </c>
      <c r="W57" s="61">
        <f t="shared" si="15"/>
        <v>1.230316901408464</v>
      </c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</row>
    <row r="58" spans="1:109" s="13" customFormat="1" ht="11.25">
      <c r="A58" s="60" t="s">
        <v>75</v>
      </c>
      <c r="B58" s="6">
        <v>57</v>
      </c>
      <c r="C58" s="6">
        <f>_F5</f>
        <v>4.096</v>
      </c>
      <c r="D58" s="6">
        <f>'後部弦圧入力'!BF4</f>
        <v>2.07</v>
      </c>
      <c r="E58" s="6">
        <f>__F5</f>
        <v>4.096</v>
      </c>
      <c r="F58" s="6">
        <f>'前部弦圧入力'!BF4</f>
        <v>2.07</v>
      </c>
      <c r="G58" s="1">
        <f t="shared" si="5"/>
        <v>0.09167328633490071</v>
      </c>
      <c r="H58" s="1">
        <f t="shared" si="6"/>
        <v>0.09167328633490071</v>
      </c>
      <c r="I58" s="10">
        <v>75</v>
      </c>
      <c r="J58" s="1">
        <f t="shared" si="10"/>
        <v>0.12000000000000671</v>
      </c>
      <c r="K58" s="1">
        <f t="shared" si="11"/>
        <v>0.12000000000000671</v>
      </c>
      <c r="L58" s="1">
        <f t="shared" si="12"/>
        <v>0.24000000000001342</v>
      </c>
      <c r="M58" s="79">
        <f>'補正値の入力'!C$6</f>
        <v>1.2</v>
      </c>
      <c r="N58" s="79">
        <f t="shared" si="8"/>
        <v>1.2</v>
      </c>
      <c r="O58" s="79">
        <f t="shared" si="9"/>
        <v>2.2</v>
      </c>
      <c r="P58" s="2">
        <f t="shared" si="13"/>
        <v>0.9599999999999865</v>
      </c>
      <c r="Q58" s="52">
        <v>269</v>
      </c>
      <c r="R58" s="53">
        <v>270</v>
      </c>
      <c r="S58" s="54">
        <v>0.25</v>
      </c>
      <c r="T58" s="58">
        <v>270</v>
      </c>
      <c r="U58" s="2">
        <f t="shared" si="14"/>
        <v>-3.4559999999999516</v>
      </c>
      <c r="V58" s="11">
        <f>IF(U58&gt;=0,MROUND(U58,0.25),IF(U58&lt;0,MROUND(U58,-0.25)))</f>
        <v>-3.5</v>
      </c>
      <c r="W58" s="61">
        <f t="shared" si="15"/>
        <v>1.2122222222222356</v>
      </c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</row>
    <row r="59" spans="1:109" s="13" customFormat="1" ht="11.25" customHeight="1">
      <c r="A59" s="60" t="s">
        <v>76</v>
      </c>
      <c r="B59" s="6">
        <v>58</v>
      </c>
      <c r="C59" s="6">
        <f>_Fis5</f>
        <v>4.096</v>
      </c>
      <c r="D59" s="6">
        <f>'後部弦圧入力'!BG4</f>
        <v>2.07</v>
      </c>
      <c r="E59" s="6">
        <f>__Fis5</f>
        <v>4.096</v>
      </c>
      <c r="F59" s="6">
        <f>'前部弦圧入力'!BG4</f>
        <v>2.07</v>
      </c>
      <c r="G59" s="1">
        <f t="shared" si="5"/>
        <v>0.09167328633490071</v>
      </c>
      <c r="H59" s="1">
        <f t="shared" si="6"/>
        <v>0.09167328633490071</v>
      </c>
      <c r="I59" s="10">
        <v>75</v>
      </c>
      <c r="J59" s="1">
        <f t="shared" si="10"/>
        <v>0.12000000000000671</v>
      </c>
      <c r="K59" s="1">
        <f t="shared" si="11"/>
        <v>0.12000000000000671</v>
      </c>
      <c r="L59" s="1">
        <f t="shared" si="12"/>
        <v>0.24000000000001342</v>
      </c>
      <c r="M59" s="79">
        <f>'補正値の入力'!C$6</f>
        <v>1.2</v>
      </c>
      <c r="N59" s="79">
        <f t="shared" si="8"/>
        <v>1.2</v>
      </c>
      <c r="O59" s="79">
        <f t="shared" si="9"/>
        <v>2.2</v>
      </c>
      <c r="P59" s="2">
        <f t="shared" si="13"/>
        <v>0.9599999999999865</v>
      </c>
      <c r="Q59" s="52">
        <v>255</v>
      </c>
      <c r="R59" s="53">
        <v>255</v>
      </c>
      <c r="S59" s="54">
        <v>0.25</v>
      </c>
      <c r="T59" s="58">
        <v>255</v>
      </c>
      <c r="U59" s="2">
        <f t="shared" si="14"/>
        <v>-3.2639999999999545</v>
      </c>
      <c r="V59" s="11">
        <f>IF(U59&gt;=0,MROUND(U59,0.25),IF(U59&lt;0,MROUND(U59,-0.25)))</f>
        <v>-3.25</v>
      </c>
      <c r="W59" s="61">
        <f t="shared" si="15"/>
        <v>1.19588235294119</v>
      </c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</row>
    <row r="60" spans="1:109" s="13" customFormat="1" ht="11.25" customHeight="1">
      <c r="A60" s="60" t="s">
        <v>77</v>
      </c>
      <c r="B60" s="6">
        <v>59</v>
      </c>
      <c r="C60" s="6">
        <f>_G5</f>
        <v>4.096</v>
      </c>
      <c r="D60" s="6">
        <f>'後部弦圧入力'!BH4</f>
        <v>2.07</v>
      </c>
      <c r="E60" s="6">
        <f>__G5</f>
        <v>4.096</v>
      </c>
      <c r="F60" s="6">
        <f>'前部弦圧入力'!BH4</f>
        <v>2.07</v>
      </c>
      <c r="G60" s="1">
        <f t="shared" si="5"/>
        <v>0.09167328633490071</v>
      </c>
      <c r="H60" s="1">
        <f t="shared" si="6"/>
        <v>0.09167328633490071</v>
      </c>
      <c r="I60" s="10">
        <v>75</v>
      </c>
      <c r="J60" s="1">
        <f t="shared" si="10"/>
        <v>0.12000000000000671</v>
      </c>
      <c r="K60" s="1">
        <f t="shared" si="11"/>
        <v>0.12000000000000671</v>
      </c>
      <c r="L60" s="1">
        <f t="shared" si="12"/>
        <v>0.24000000000001342</v>
      </c>
      <c r="M60" s="79">
        <f>'補正値の入力'!C$6</f>
        <v>1.2</v>
      </c>
      <c r="N60" s="79">
        <f t="shared" si="8"/>
        <v>1.2</v>
      </c>
      <c r="O60" s="79">
        <f t="shared" si="9"/>
        <v>2.2</v>
      </c>
      <c r="P60" s="2">
        <f t="shared" si="13"/>
        <v>0.9599999999999865</v>
      </c>
      <c r="Q60" s="52">
        <v>242</v>
      </c>
      <c r="R60" s="53">
        <v>242</v>
      </c>
      <c r="S60" s="54">
        <v>0.25</v>
      </c>
      <c r="T60" s="58">
        <v>242</v>
      </c>
      <c r="U60" s="2">
        <f t="shared" si="14"/>
        <v>-3.097599999999957</v>
      </c>
      <c r="V60" s="11">
        <f>IF(U60&gt;=0,MROUND(U60,0.25),IF(U60&lt;0,MROUND(U60,-0.25)))</f>
        <v>-3</v>
      </c>
      <c r="W60" s="61">
        <f t="shared" si="15"/>
        <v>1.169752066115716</v>
      </c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</row>
    <row r="61" spans="1:109" s="13" customFormat="1" ht="11.25">
      <c r="A61" s="60" t="s">
        <v>78</v>
      </c>
      <c r="B61" s="6">
        <v>60</v>
      </c>
      <c r="C61" s="6">
        <f>_Gis5</f>
        <v>4.096</v>
      </c>
      <c r="D61" s="6">
        <f>'後部弦圧入力'!BI4</f>
        <v>2.07</v>
      </c>
      <c r="E61" s="6">
        <f>__Gis5</f>
        <v>4.096</v>
      </c>
      <c r="F61" s="6">
        <f>'前部弦圧入力'!BI4</f>
        <v>2.07</v>
      </c>
      <c r="G61" s="1">
        <f t="shared" si="5"/>
        <v>0.09167328633490071</v>
      </c>
      <c r="H61" s="1">
        <f t="shared" si="6"/>
        <v>0.09167328633490071</v>
      </c>
      <c r="I61" s="10">
        <v>75</v>
      </c>
      <c r="J61" s="1">
        <f t="shared" si="10"/>
        <v>0.12000000000000671</v>
      </c>
      <c r="K61" s="1">
        <f t="shared" si="11"/>
        <v>0.12000000000000671</v>
      </c>
      <c r="L61" s="1">
        <f t="shared" si="12"/>
        <v>0.24000000000001342</v>
      </c>
      <c r="M61" s="79">
        <f>'補正値の入力'!C$6</f>
        <v>1.2</v>
      </c>
      <c r="N61" s="79">
        <f t="shared" si="8"/>
        <v>1.2</v>
      </c>
      <c r="O61" s="79">
        <f t="shared" si="9"/>
        <v>2.2</v>
      </c>
      <c r="P61" s="2">
        <f t="shared" si="13"/>
        <v>0.9599999999999865</v>
      </c>
      <c r="Q61" s="52">
        <v>230</v>
      </c>
      <c r="R61" s="53">
        <v>229</v>
      </c>
      <c r="S61" s="54">
        <v>0.25</v>
      </c>
      <c r="T61" s="58">
        <v>229</v>
      </c>
      <c r="U61" s="2">
        <f t="shared" si="14"/>
        <v>-2.9311999999999587</v>
      </c>
      <c r="V61" s="11">
        <f>IF(U61&gt;=0,MROUND(U61,0.25),IF(U61&lt;0,MROUND(U61,-0.25)))</f>
        <v>-3</v>
      </c>
      <c r="W61" s="61">
        <f t="shared" si="15"/>
        <v>1.2225327510917166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</row>
    <row r="62" spans="1:109" s="13" customFormat="1" ht="11.25" customHeight="1">
      <c r="A62" s="60" t="s">
        <v>79</v>
      </c>
      <c r="B62" s="6">
        <v>61</v>
      </c>
      <c r="C62" s="6">
        <f>_A6</f>
        <v>4.096</v>
      </c>
      <c r="D62" s="6">
        <f>'後部弦圧入力'!BJ4</f>
        <v>2.07</v>
      </c>
      <c r="E62" s="6">
        <f>__A6</f>
        <v>4.096</v>
      </c>
      <c r="F62" s="6">
        <f>'前部弦圧入力'!BJ4</f>
        <v>2.07</v>
      </c>
      <c r="G62" s="1">
        <f t="shared" si="5"/>
        <v>0.09167328633490071</v>
      </c>
      <c r="H62" s="1">
        <f t="shared" si="6"/>
        <v>0.09167328633490071</v>
      </c>
      <c r="I62" s="10">
        <v>75</v>
      </c>
      <c r="J62" s="1">
        <f t="shared" si="10"/>
        <v>0.12000000000000671</v>
      </c>
      <c r="K62" s="1">
        <f t="shared" si="11"/>
        <v>0.12000000000000671</v>
      </c>
      <c r="L62" s="1">
        <f t="shared" si="12"/>
        <v>0.24000000000001342</v>
      </c>
      <c r="M62" s="79">
        <f>'補正値の入力'!C$6</f>
        <v>1.2</v>
      </c>
      <c r="N62" s="79">
        <f t="shared" si="8"/>
        <v>1.2</v>
      </c>
      <c r="O62" s="79">
        <f t="shared" si="9"/>
        <v>2.2</v>
      </c>
      <c r="P62" s="2">
        <f t="shared" si="13"/>
        <v>0.9599999999999865</v>
      </c>
      <c r="Q62" s="52">
        <v>218</v>
      </c>
      <c r="R62" s="53">
        <v>218</v>
      </c>
      <c r="S62" s="54">
        <v>0.25</v>
      </c>
      <c r="T62" s="58">
        <v>218</v>
      </c>
      <c r="U62" s="2">
        <f t="shared" si="14"/>
        <v>-2.790399999999961</v>
      </c>
      <c r="V62" s="11">
        <f>IF(U62&gt;=0,MROUND(U62,0.25),IF(U62&lt;0,MROUND(U62,-0.25)))</f>
        <v>-2.75</v>
      </c>
      <c r="W62" s="61">
        <f t="shared" si="15"/>
        <v>1.186100917431206</v>
      </c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</row>
    <row r="63" spans="1:109" s="13" customFormat="1" ht="11.25" customHeight="1">
      <c r="A63" s="60" t="s">
        <v>80</v>
      </c>
      <c r="B63" s="6">
        <v>62</v>
      </c>
      <c r="C63" s="6">
        <f>_B6</f>
        <v>4.096</v>
      </c>
      <c r="D63" s="6">
        <f>'後部弦圧入力'!BK4</f>
        <v>2.07</v>
      </c>
      <c r="E63" s="6">
        <f>__B6</f>
        <v>4.096</v>
      </c>
      <c r="F63" s="6">
        <f>'前部弦圧入力'!BK4</f>
        <v>2.07</v>
      </c>
      <c r="G63" s="1">
        <f t="shared" si="5"/>
        <v>0.09167328633490071</v>
      </c>
      <c r="H63" s="1">
        <f t="shared" si="6"/>
        <v>0.09167328633490071</v>
      </c>
      <c r="I63" s="10">
        <v>75</v>
      </c>
      <c r="J63" s="1">
        <f t="shared" si="10"/>
        <v>0.12000000000000671</v>
      </c>
      <c r="K63" s="1">
        <f t="shared" si="11"/>
        <v>0.12000000000000671</v>
      </c>
      <c r="L63" s="1">
        <f t="shared" si="12"/>
        <v>0.24000000000001342</v>
      </c>
      <c r="M63" s="79">
        <f>'補正値の入力'!C$6</f>
        <v>1.2</v>
      </c>
      <c r="N63" s="79">
        <f t="shared" si="8"/>
        <v>1.2</v>
      </c>
      <c r="O63" s="79">
        <f t="shared" si="9"/>
        <v>2.2</v>
      </c>
      <c r="P63" s="2">
        <f t="shared" si="13"/>
        <v>0.9599999999999865</v>
      </c>
      <c r="Q63" s="52">
        <v>205</v>
      </c>
      <c r="R63" s="53">
        <v>265</v>
      </c>
      <c r="S63" s="54">
        <v>0.25</v>
      </c>
      <c r="T63" s="58">
        <v>265</v>
      </c>
      <c r="U63" s="2">
        <f t="shared" si="14"/>
        <v>-3.3919999999999524</v>
      </c>
      <c r="V63" s="11">
        <f>IF(U63&gt;=0,MROUND(U63,0.25),IF(U63&lt;0,MROUND(U63,-0.25)))</f>
        <v>-3.5</v>
      </c>
      <c r="W63" s="61">
        <f t="shared" si="15"/>
        <v>1.2305660377358625</v>
      </c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</row>
    <row r="64" spans="1:109" s="13" customFormat="1" ht="11.25">
      <c r="A64" s="60" t="s">
        <v>81</v>
      </c>
      <c r="B64" s="6">
        <v>63</v>
      </c>
      <c r="C64" s="6">
        <f>_H6</f>
        <v>4.096</v>
      </c>
      <c r="D64" s="6">
        <f>'後部弦圧入力'!BL4</f>
        <v>2.07</v>
      </c>
      <c r="E64" s="6">
        <f>__H6</f>
        <v>4.096</v>
      </c>
      <c r="F64" s="6">
        <f>'前部弦圧入力'!BL4</f>
        <v>2.07</v>
      </c>
      <c r="G64" s="1">
        <f t="shared" si="5"/>
        <v>0.09167328633490071</v>
      </c>
      <c r="H64" s="1">
        <f t="shared" si="6"/>
        <v>0.09167328633490071</v>
      </c>
      <c r="I64" s="10">
        <v>75</v>
      </c>
      <c r="J64" s="1">
        <f t="shared" si="10"/>
        <v>0.12000000000000671</v>
      </c>
      <c r="K64" s="1">
        <f t="shared" si="11"/>
        <v>0.12000000000000671</v>
      </c>
      <c r="L64" s="1">
        <f t="shared" si="12"/>
        <v>0.24000000000001342</v>
      </c>
      <c r="M64" s="79">
        <f>'補正値の入力'!C$6</f>
        <v>1.2</v>
      </c>
      <c r="N64" s="79">
        <f t="shared" si="8"/>
        <v>1.2</v>
      </c>
      <c r="O64" s="79">
        <f t="shared" si="9"/>
        <v>2.2</v>
      </c>
      <c r="P64" s="2">
        <f t="shared" si="13"/>
        <v>0.9599999999999865</v>
      </c>
      <c r="Q64" s="52">
        <v>194</v>
      </c>
      <c r="R64" s="53">
        <v>195</v>
      </c>
      <c r="S64" s="54">
        <v>0.25</v>
      </c>
      <c r="T64" s="58">
        <v>195</v>
      </c>
      <c r="U64" s="2">
        <f t="shared" si="14"/>
        <v>-2.495999999999965</v>
      </c>
      <c r="V64" s="11">
        <f>IF(U64&gt;=0,MROUND(U64,0.25),IF(U64&lt;0,MROUND(U64,-0.25)))</f>
        <v>-2.5</v>
      </c>
      <c r="W64" s="61">
        <f t="shared" si="15"/>
        <v>1.201538461538475</v>
      </c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</row>
    <row r="65" spans="1:109" s="13" customFormat="1" ht="11.25">
      <c r="A65" s="60" t="s">
        <v>82</v>
      </c>
      <c r="B65" s="6">
        <v>64</v>
      </c>
      <c r="C65" s="6">
        <f>_C6</f>
        <v>4.096</v>
      </c>
      <c r="D65" s="6">
        <f>'後部弦圧入力'!BM4</f>
        <v>2.07</v>
      </c>
      <c r="E65" s="6">
        <f>__C6</f>
        <v>4.096</v>
      </c>
      <c r="F65" s="6">
        <f>'前部弦圧入力'!BM4</f>
        <v>2.07</v>
      </c>
      <c r="G65" s="1">
        <f t="shared" si="5"/>
        <v>0.09167328633490071</v>
      </c>
      <c r="H65" s="1">
        <f t="shared" si="6"/>
        <v>0.09167328633490071</v>
      </c>
      <c r="I65" s="10">
        <v>75</v>
      </c>
      <c r="J65" s="1">
        <f t="shared" si="10"/>
        <v>0.12000000000000671</v>
      </c>
      <c r="K65" s="1">
        <f t="shared" si="11"/>
        <v>0.12000000000000671</v>
      </c>
      <c r="L65" s="1">
        <f t="shared" si="12"/>
        <v>0.24000000000001342</v>
      </c>
      <c r="M65" s="79">
        <f>'補正値の入力'!C$6</f>
        <v>1.2</v>
      </c>
      <c r="N65" s="79">
        <f t="shared" si="8"/>
        <v>1.2</v>
      </c>
      <c r="O65" s="79">
        <f t="shared" si="9"/>
        <v>2.2</v>
      </c>
      <c r="P65" s="2">
        <f t="shared" si="13"/>
        <v>0.9599999999999865</v>
      </c>
      <c r="Q65" s="52">
        <v>184</v>
      </c>
      <c r="R65" s="53">
        <v>185</v>
      </c>
      <c r="S65" s="54">
        <v>0.25</v>
      </c>
      <c r="T65" s="58">
        <v>185</v>
      </c>
      <c r="U65" s="2">
        <f t="shared" si="14"/>
        <v>-2.367999999999967</v>
      </c>
      <c r="V65" s="11">
        <f>IF(U65&gt;=0,MROUND(U65,0.25),IF(U65&lt;0,MROUND(U65,-0.25)))</f>
        <v>-2.25</v>
      </c>
      <c r="W65" s="61">
        <f t="shared" si="15"/>
        <v>1.1521621621621756</v>
      </c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</row>
    <row r="66" spans="1:109" s="13" customFormat="1" ht="11.25" customHeight="1">
      <c r="A66" s="60" t="s">
        <v>83</v>
      </c>
      <c r="B66" s="6">
        <v>65</v>
      </c>
      <c r="C66" s="6">
        <f>_Cis6</f>
        <v>4.096</v>
      </c>
      <c r="D66" s="6">
        <f>'後部弦圧入力'!BN4</f>
        <v>2.07</v>
      </c>
      <c r="E66" s="6">
        <f>__Cis6</f>
        <v>4.096</v>
      </c>
      <c r="F66" s="6">
        <f>'前部弦圧入力'!BN4</f>
        <v>2.07</v>
      </c>
      <c r="G66" s="1">
        <f t="shared" si="5"/>
        <v>0.09167328633490071</v>
      </c>
      <c r="H66" s="1">
        <f t="shared" si="6"/>
        <v>0.09167328633490071</v>
      </c>
      <c r="I66" s="10">
        <v>75</v>
      </c>
      <c r="J66" s="1">
        <f aca="true" t="shared" si="16" ref="J66:J89">-(IF((3.5&lt;C66),補正値X*I66*((D66-オフセットX1)-オフセットX2),IF((3.5&lt;D66),(オフセットYU-_A1)*補正値YU*I66,(C66-オフセットYL)*補正値YL*I66)))</f>
        <v>0.12000000000000671</v>
      </c>
      <c r="K66" s="1">
        <f aca="true" t="shared" si="17" ref="K66:K89">-(IF((3.5&lt;E66),補正値X*I66*((F66-オフセットX1)-オフセットX2),IF((3.5&lt;F66),(オフセットYU-E66)*補正値YU*I66,(E66-オフセットYL)*補正値YL*I66)))</f>
        <v>0.12000000000000671</v>
      </c>
      <c r="L66" s="1">
        <f aca="true" t="shared" si="18" ref="L66:L89">J66+K66</f>
        <v>0.24000000000001342</v>
      </c>
      <c r="M66" s="79">
        <f>'補正値の入力'!C$6</f>
        <v>1.2</v>
      </c>
      <c r="N66" s="79">
        <f t="shared" si="8"/>
        <v>1.2</v>
      </c>
      <c r="O66" s="79">
        <f t="shared" si="9"/>
        <v>2.2</v>
      </c>
      <c r="P66" s="2">
        <f aca="true" t="shared" si="19" ref="P66:P89">M66-L66</f>
        <v>0.9599999999999865</v>
      </c>
      <c r="Q66" s="52">
        <v>173</v>
      </c>
      <c r="R66" s="53">
        <v>175.5</v>
      </c>
      <c r="S66" s="54">
        <v>0.25</v>
      </c>
      <c r="T66" s="58">
        <v>175.5</v>
      </c>
      <c r="U66" s="2">
        <f t="shared" si="14"/>
        <v>-2.2463999999999684</v>
      </c>
      <c r="V66" s="11">
        <f>IF(U66&gt;=0,MROUND(U66,0.25),IF(U66&lt;0,MROUND(U66,-0.25)))</f>
        <v>-2.25</v>
      </c>
      <c r="W66" s="61">
        <f t="shared" si="15"/>
        <v>1.201538461538475</v>
      </c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</row>
    <row r="67" spans="1:109" s="13" customFormat="1" ht="11.25" customHeight="1">
      <c r="A67" s="60" t="s">
        <v>84</v>
      </c>
      <c r="B67" s="6">
        <v>66</v>
      </c>
      <c r="C67" s="6">
        <f>_D6</f>
        <v>4.096</v>
      </c>
      <c r="D67" s="6">
        <f>'後部弦圧入力'!BO4</f>
        <v>2.07</v>
      </c>
      <c r="E67" s="6">
        <f>__D6</f>
        <v>4.096</v>
      </c>
      <c r="F67" s="6">
        <f>'前部弦圧入力'!BO4</f>
        <v>2.07</v>
      </c>
      <c r="G67" s="1">
        <f aca="true" t="shared" si="20" ref="G67:G89">ASIN(J67/I67)*180/PI()</f>
        <v>0.09167328633490071</v>
      </c>
      <c r="H67" s="1">
        <f aca="true" t="shared" si="21" ref="H67:H89">ASIN(K67/I67)*180/PI()</f>
        <v>0.09167328633490071</v>
      </c>
      <c r="I67" s="10">
        <v>75</v>
      </c>
      <c r="J67" s="1">
        <f t="shared" si="16"/>
        <v>0.12000000000000671</v>
      </c>
      <c r="K67" s="1">
        <f t="shared" si="17"/>
        <v>0.12000000000000671</v>
      </c>
      <c r="L67" s="1">
        <f t="shared" si="18"/>
        <v>0.24000000000001342</v>
      </c>
      <c r="M67" s="79">
        <f>'補正値の入力'!C$6</f>
        <v>1.2</v>
      </c>
      <c r="N67" s="79">
        <f aca="true" t="shared" si="22" ref="N67:N89">M67</f>
        <v>1.2</v>
      </c>
      <c r="O67" s="79">
        <f aca="true" t="shared" si="23" ref="O67:O89">N67+1</f>
        <v>2.2</v>
      </c>
      <c r="P67" s="2">
        <f t="shared" si="19"/>
        <v>0.9599999999999865</v>
      </c>
      <c r="Q67" s="52">
        <v>164</v>
      </c>
      <c r="R67" s="53">
        <v>166.5</v>
      </c>
      <c r="S67" s="54">
        <v>0.25</v>
      </c>
      <c r="T67" s="58">
        <v>166.5</v>
      </c>
      <c r="U67" s="2">
        <f t="shared" si="14"/>
        <v>-2.13119999999997</v>
      </c>
      <c r="V67" s="11">
        <f>IF(U67&gt;=0,MROUND(U67,0.25),IF(U67&lt;0,MROUND(U67,-0.25)))</f>
        <v>-2.25</v>
      </c>
      <c r="W67" s="61">
        <f t="shared" si="15"/>
        <v>1.2535135135135271</v>
      </c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</row>
    <row r="68" spans="1:109" s="13" customFormat="1" ht="11.25">
      <c r="A68" s="60" t="s">
        <v>85</v>
      </c>
      <c r="B68" s="6">
        <v>67</v>
      </c>
      <c r="C68" s="6">
        <f>_Es6</f>
        <v>4.096</v>
      </c>
      <c r="D68" s="6">
        <f>'後部弦圧入力'!BP4</f>
        <v>2.07</v>
      </c>
      <c r="E68" s="6">
        <f>__Es6</f>
        <v>4.096</v>
      </c>
      <c r="F68" s="6">
        <f>'前部弦圧入力'!BP4</f>
        <v>2.07</v>
      </c>
      <c r="G68" s="1">
        <f t="shared" si="20"/>
        <v>0.09167328633490071</v>
      </c>
      <c r="H68" s="1">
        <f t="shared" si="21"/>
        <v>0.09167328633490071</v>
      </c>
      <c r="I68" s="10">
        <v>75</v>
      </c>
      <c r="J68" s="1">
        <f t="shared" si="16"/>
        <v>0.12000000000000671</v>
      </c>
      <c r="K68" s="1">
        <f t="shared" si="17"/>
        <v>0.12000000000000671</v>
      </c>
      <c r="L68" s="1">
        <f t="shared" si="18"/>
        <v>0.24000000000001342</v>
      </c>
      <c r="M68" s="79">
        <f>'補正値の入力'!C$6</f>
        <v>1.2</v>
      </c>
      <c r="N68" s="79">
        <f t="shared" si="22"/>
        <v>1.2</v>
      </c>
      <c r="O68" s="79">
        <f t="shared" si="23"/>
        <v>2.2</v>
      </c>
      <c r="P68" s="2">
        <f t="shared" si="19"/>
        <v>0.9599999999999865</v>
      </c>
      <c r="Q68" s="52">
        <v>154</v>
      </c>
      <c r="R68" s="53">
        <v>157.5</v>
      </c>
      <c r="S68" s="54">
        <v>0.25</v>
      </c>
      <c r="T68" s="58">
        <v>157.5</v>
      </c>
      <c r="U68" s="2">
        <f t="shared" si="14"/>
        <v>-2.0159999999999716</v>
      </c>
      <c r="V68" s="11">
        <f>IF(U68&gt;=0,MROUND(U68,0.25),IF(U68&lt;0,MROUND(U68,-0.25)))</f>
        <v>-2</v>
      </c>
      <c r="W68" s="61">
        <f t="shared" si="15"/>
        <v>1.1923809523809656</v>
      </c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</row>
    <row r="69" spans="1:109" s="13" customFormat="1" ht="11.25" customHeight="1">
      <c r="A69" s="60" t="s">
        <v>86</v>
      </c>
      <c r="B69" s="6">
        <v>68</v>
      </c>
      <c r="C69" s="6">
        <f>_E6</f>
        <v>4.096</v>
      </c>
      <c r="D69" s="6">
        <f>'後部弦圧入力'!BQ4</f>
        <v>2.07</v>
      </c>
      <c r="E69" s="6">
        <f>__E6</f>
        <v>4.096</v>
      </c>
      <c r="F69" s="6">
        <f>'前部弦圧入力'!BQ4</f>
        <v>2.07</v>
      </c>
      <c r="G69" s="1">
        <f t="shared" si="20"/>
        <v>0.09167328633490071</v>
      </c>
      <c r="H69" s="1">
        <f t="shared" si="21"/>
        <v>0.09167328633490071</v>
      </c>
      <c r="I69" s="10">
        <v>75</v>
      </c>
      <c r="J69" s="1">
        <f t="shared" si="16"/>
        <v>0.12000000000000671</v>
      </c>
      <c r="K69" s="1">
        <f t="shared" si="17"/>
        <v>0.12000000000000671</v>
      </c>
      <c r="L69" s="1">
        <f t="shared" si="18"/>
        <v>0.24000000000001342</v>
      </c>
      <c r="M69" s="79">
        <f>'補正値の入力'!C$6</f>
        <v>1.2</v>
      </c>
      <c r="N69" s="79">
        <f t="shared" si="22"/>
        <v>1.2</v>
      </c>
      <c r="O69" s="79">
        <f t="shared" si="23"/>
        <v>2.2</v>
      </c>
      <c r="P69" s="2">
        <f t="shared" si="19"/>
        <v>0.9599999999999865</v>
      </c>
      <c r="Q69" s="52">
        <v>146</v>
      </c>
      <c r="R69" s="53">
        <v>150</v>
      </c>
      <c r="S69" s="54">
        <v>0.25</v>
      </c>
      <c r="T69" s="58">
        <v>150</v>
      </c>
      <c r="U69" s="2">
        <f t="shared" si="14"/>
        <v>-1.919999999999973</v>
      </c>
      <c r="V69" s="11">
        <f>IF(U69&gt;=0,MROUND(U69,0.25),IF(U69&lt;0,MROUND(U69,-0.25)))</f>
        <v>-2</v>
      </c>
      <c r="W69" s="61">
        <f t="shared" si="15"/>
        <v>1.2400000000000135</v>
      </c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</row>
    <row r="70" spans="1:109" s="13" customFormat="1" ht="11.25" customHeight="1">
      <c r="A70" s="60" t="s">
        <v>87</v>
      </c>
      <c r="B70" s="6">
        <v>69</v>
      </c>
      <c r="C70" s="6">
        <f>_F6</f>
        <v>4.096</v>
      </c>
      <c r="D70" s="6">
        <f>'後部弦圧入力'!BR4</f>
        <v>2.07</v>
      </c>
      <c r="E70" s="6">
        <f>__F6</f>
        <v>4.096</v>
      </c>
      <c r="F70" s="6">
        <f>'前部弦圧入力'!BR4</f>
        <v>2.07</v>
      </c>
      <c r="G70" s="1">
        <f t="shared" si="20"/>
        <v>0.09167328633490071</v>
      </c>
      <c r="H70" s="1">
        <f t="shared" si="21"/>
        <v>0.09167328633490071</v>
      </c>
      <c r="I70" s="10">
        <v>75</v>
      </c>
      <c r="J70" s="1">
        <f t="shared" si="16"/>
        <v>0.12000000000000671</v>
      </c>
      <c r="K70" s="1">
        <f t="shared" si="17"/>
        <v>0.12000000000000671</v>
      </c>
      <c r="L70" s="1">
        <f t="shared" si="18"/>
        <v>0.24000000000001342</v>
      </c>
      <c r="M70" s="79">
        <f>'補正値の入力'!C$6</f>
        <v>1.2</v>
      </c>
      <c r="N70" s="79">
        <f t="shared" si="22"/>
        <v>1.2</v>
      </c>
      <c r="O70" s="79">
        <f t="shared" si="23"/>
        <v>2.2</v>
      </c>
      <c r="P70" s="2">
        <f t="shared" si="19"/>
        <v>0.9599999999999865</v>
      </c>
      <c r="Q70" s="52">
        <v>139</v>
      </c>
      <c r="R70" s="53">
        <v>138.5</v>
      </c>
      <c r="S70" s="54">
        <v>0.25</v>
      </c>
      <c r="T70" s="58">
        <v>138.5</v>
      </c>
      <c r="U70" s="2">
        <f t="shared" si="14"/>
        <v>-1.772799999999975</v>
      </c>
      <c r="V70" s="11">
        <f>IF(U70&gt;=0,MROUND(U70,0.25),IF(U70&lt;0,MROUND(U70,-0.25)))</f>
        <v>-1.75</v>
      </c>
      <c r="W70" s="61">
        <f t="shared" si="15"/>
        <v>1.1876534296029015</v>
      </c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</row>
    <row r="71" spans="1:109" s="13" customFormat="1" ht="11.25">
      <c r="A71" s="60" t="s">
        <v>88</v>
      </c>
      <c r="B71" s="6">
        <v>70</v>
      </c>
      <c r="C71" s="6">
        <f>_Fis6</f>
        <v>4.096</v>
      </c>
      <c r="D71" s="6">
        <f>'後部弦圧入力'!BS4</f>
        <v>2.07</v>
      </c>
      <c r="E71" s="6">
        <f>__Fis6</f>
        <v>4.096</v>
      </c>
      <c r="F71" s="6">
        <f>'前部弦圧入力'!BS4</f>
        <v>2.07</v>
      </c>
      <c r="G71" s="1">
        <f t="shared" si="20"/>
        <v>0.09167328633490071</v>
      </c>
      <c r="H71" s="1">
        <f t="shared" si="21"/>
        <v>0.09167328633490071</v>
      </c>
      <c r="I71" s="10">
        <v>75</v>
      </c>
      <c r="J71" s="1">
        <f t="shared" si="16"/>
        <v>0.12000000000000671</v>
      </c>
      <c r="K71" s="1">
        <f t="shared" si="17"/>
        <v>0.12000000000000671</v>
      </c>
      <c r="L71" s="1">
        <f t="shared" si="18"/>
        <v>0.24000000000001342</v>
      </c>
      <c r="M71" s="79">
        <f>'補正値の入力'!C$6</f>
        <v>1.2</v>
      </c>
      <c r="N71" s="79">
        <f t="shared" si="22"/>
        <v>1.2</v>
      </c>
      <c r="O71" s="79">
        <f t="shared" si="23"/>
        <v>2.2</v>
      </c>
      <c r="P71" s="2">
        <f t="shared" si="19"/>
        <v>0.9599999999999865</v>
      </c>
      <c r="Q71" s="52">
        <v>132</v>
      </c>
      <c r="R71" s="53">
        <v>132</v>
      </c>
      <c r="S71" s="54">
        <v>0.25</v>
      </c>
      <c r="T71" s="58">
        <v>132</v>
      </c>
      <c r="U71" s="2">
        <f t="shared" si="14"/>
        <v>-1.6895999999999762</v>
      </c>
      <c r="V71" s="11">
        <f>IF(U71&gt;=0,MROUND(U71,0.25),IF(U71&lt;0,MROUND(U71,-0.25)))</f>
        <v>-1.75</v>
      </c>
      <c r="W71" s="61">
        <f t="shared" si="15"/>
        <v>1.2343181818181952</v>
      </c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</row>
    <row r="72" spans="1:109" s="13" customFormat="1" ht="11.25" customHeight="1">
      <c r="A72" s="60" t="s">
        <v>89</v>
      </c>
      <c r="B72" s="6">
        <v>71</v>
      </c>
      <c r="C72" s="6">
        <f>_G6</f>
        <v>4.096</v>
      </c>
      <c r="D72" s="6">
        <f>'後部弦圧入力'!BT4</f>
        <v>2.07</v>
      </c>
      <c r="E72" s="6">
        <f>__G6</f>
        <v>4.096</v>
      </c>
      <c r="F72" s="6">
        <f>'前部弦圧入力'!BT4</f>
        <v>2.07</v>
      </c>
      <c r="G72" s="1">
        <f t="shared" si="20"/>
        <v>0.09167328633490071</v>
      </c>
      <c r="H72" s="1">
        <f t="shared" si="21"/>
        <v>0.09167328633490071</v>
      </c>
      <c r="I72" s="10">
        <v>75</v>
      </c>
      <c r="J72" s="1">
        <f t="shared" si="16"/>
        <v>0.12000000000000671</v>
      </c>
      <c r="K72" s="1">
        <f t="shared" si="17"/>
        <v>0.12000000000000671</v>
      </c>
      <c r="L72" s="1">
        <f t="shared" si="18"/>
        <v>0.24000000000001342</v>
      </c>
      <c r="M72" s="79">
        <f>'補正値の入力'!C$6</f>
        <v>1.2</v>
      </c>
      <c r="N72" s="79">
        <f t="shared" si="22"/>
        <v>1.2</v>
      </c>
      <c r="O72" s="79">
        <f t="shared" si="23"/>
        <v>2.2</v>
      </c>
      <c r="P72" s="2">
        <f t="shared" si="19"/>
        <v>0.9599999999999865</v>
      </c>
      <c r="Q72" s="52">
        <v>117</v>
      </c>
      <c r="R72" s="53">
        <v>126</v>
      </c>
      <c r="S72" s="54">
        <v>0.5</v>
      </c>
      <c r="T72" s="58">
        <v>126</v>
      </c>
      <c r="U72" s="2">
        <f aca="true" t="shared" si="24" ref="U72:U89">-P72*T72/I72</f>
        <v>-1.6127999999999774</v>
      </c>
      <c r="V72" s="11">
        <f>IF(U72&gt;=0,MROUND(U72,0.25),IF(U72&lt;0,MROUND(U72,-0.25)))</f>
        <v>-1.5</v>
      </c>
      <c r="W72" s="61">
        <f aca="true" t="shared" si="25" ref="W72:W89">L72-I72*V72/T72</f>
        <v>1.1328571428571563</v>
      </c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</row>
    <row r="73" spans="1:109" s="13" customFormat="1" ht="11.25" customHeight="1">
      <c r="A73" s="60" t="s">
        <v>90</v>
      </c>
      <c r="B73" s="6">
        <v>72</v>
      </c>
      <c r="C73" s="6">
        <f>_Gis6</f>
        <v>4.096</v>
      </c>
      <c r="D73" s="6">
        <f>'後部弦圧入力'!BU4</f>
        <v>2.07</v>
      </c>
      <c r="E73" s="6">
        <f>__Gis6</f>
        <v>4.096</v>
      </c>
      <c r="F73" s="6">
        <f>'前部弦圧入力'!BU4</f>
        <v>2.07</v>
      </c>
      <c r="G73" s="1">
        <f t="shared" si="20"/>
        <v>0.09167328633490071</v>
      </c>
      <c r="H73" s="1">
        <f t="shared" si="21"/>
        <v>0.09167328633490071</v>
      </c>
      <c r="I73" s="10">
        <v>75</v>
      </c>
      <c r="J73" s="1">
        <f t="shared" si="16"/>
        <v>0.12000000000000671</v>
      </c>
      <c r="K73" s="1">
        <f t="shared" si="17"/>
        <v>0.12000000000000671</v>
      </c>
      <c r="L73" s="1">
        <f t="shared" si="18"/>
        <v>0.24000000000001342</v>
      </c>
      <c r="M73" s="79">
        <f>'補正値の入力'!C$6</f>
        <v>1.2</v>
      </c>
      <c r="N73" s="79">
        <f t="shared" si="22"/>
        <v>1.2</v>
      </c>
      <c r="O73" s="79">
        <f t="shared" si="23"/>
        <v>2.2</v>
      </c>
      <c r="P73" s="2">
        <f t="shared" si="19"/>
        <v>0.9599999999999865</v>
      </c>
      <c r="Q73" s="52">
        <v>114</v>
      </c>
      <c r="R73" s="53">
        <v>120</v>
      </c>
      <c r="S73" s="54">
        <v>0.5</v>
      </c>
      <c r="T73" s="58">
        <v>120</v>
      </c>
      <c r="U73" s="2">
        <f t="shared" si="24"/>
        <v>-1.5359999999999785</v>
      </c>
      <c r="V73" s="11">
        <f>IF(U73&gt;=0,MROUND(U73,0.25),IF(U73&lt;0,MROUND(U73,-0.25)))</f>
        <v>-1.5</v>
      </c>
      <c r="W73" s="61">
        <f t="shared" si="25"/>
        <v>1.1775000000000135</v>
      </c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</row>
    <row r="74" spans="1:109" s="13" customFormat="1" ht="11.25">
      <c r="A74" s="60" t="s">
        <v>91</v>
      </c>
      <c r="B74" s="6">
        <v>73</v>
      </c>
      <c r="C74" s="6">
        <f>_A7</f>
        <v>4.096</v>
      </c>
      <c r="D74" s="6">
        <f>'後部弦圧入力'!BV4</f>
        <v>2.07</v>
      </c>
      <c r="E74" s="6">
        <f>__A7</f>
        <v>4.096</v>
      </c>
      <c r="F74" s="6">
        <f>'前部弦圧入力'!BV4</f>
        <v>2.07</v>
      </c>
      <c r="G74" s="1">
        <f t="shared" si="20"/>
        <v>0.09167328633490071</v>
      </c>
      <c r="H74" s="1">
        <f t="shared" si="21"/>
        <v>0.09167328633490071</v>
      </c>
      <c r="I74" s="10">
        <v>75</v>
      </c>
      <c r="J74" s="1">
        <f t="shared" si="16"/>
        <v>0.12000000000000671</v>
      </c>
      <c r="K74" s="1">
        <f t="shared" si="17"/>
        <v>0.12000000000000671</v>
      </c>
      <c r="L74" s="1">
        <f t="shared" si="18"/>
        <v>0.24000000000001342</v>
      </c>
      <c r="M74" s="79">
        <f>'補正値の入力'!C$6</f>
        <v>1.2</v>
      </c>
      <c r="N74" s="79">
        <f t="shared" si="22"/>
        <v>1.2</v>
      </c>
      <c r="O74" s="79">
        <f t="shared" si="23"/>
        <v>2.2</v>
      </c>
      <c r="P74" s="2">
        <f t="shared" si="19"/>
        <v>0.9599999999999865</v>
      </c>
      <c r="Q74" s="52">
        <v>108</v>
      </c>
      <c r="R74" s="53">
        <v>114</v>
      </c>
      <c r="S74" s="54">
        <v>0.5</v>
      </c>
      <c r="T74" s="58">
        <v>114</v>
      </c>
      <c r="U74" s="2">
        <f t="shared" si="24"/>
        <v>-1.4591999999999794</v>
      </c>
      <c r="V74" s="11">
        <f>IF(U74&gt;=0,MROUND(U74,0.25),IF(U74&lt;0,MROUND(U74,-0.25)))</f>
        <v>-1.5</v>
      </c>
      <c r="W74" s="61">
        <f t="shared" si="25"/>
        <v>1.2268421052631713</v>
      </c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</row>
    <row r="75" spans="1:109" s="13" customFormat="1" ht="11.25">
      <c r="A75" s="60" t="s">
        <v>92</v>
      </c>
      <c r="B75" s="6">
        <v>74</v>
      </c>
      <c r="C75" s="6">
        <f>_B7</f>
        <v>4.096</v>
      </c>
      <c r="D75" s="6">
        <f>'後部弦圧入力'!BW4</f>
        <v>2.07</v>
      </c>
      <c r="E75" s="6">
        <f>__B7</f>
        <v>4.096</v>
      </c>
      <c r="F75" s="6">
        <f>'前部弦圧入力'!BW4</f>
        <v>2.07</v>
      </c>
      <c r="G75" s="1">
        <f t="shared" si="20"/>
        <v>0.09167328633490071</v>
      </c>
      <c r="H75" s="1">
        <f t="shared" si="21"/>
        <v>0.09167328633490071</v>
      </c>
      <c r="I75" s="10">
        <v>75</v>
      </c>
      <c r="J75" s="1">
        <f t="shared" si="16"/>
        <v>0.12000000000000671</v>
      </c>
      <c r="K75" s="1">
        <f t="shared" si="17"/>
        <v>0.12000000000000671</v>
      </c>
      <c r="L75" s="1">
        <f t="shared" si="18"/>
        <v>0.24000000000001342</v>
      </c>
      <c r="M75" s="79">
        <f>'補正値の入力'!C$6</f>
        <v>1.2</v>
      </c>
      <c r="N75" s="79">
        <f t="shared" si="22"/>
        <v>1.2</v>
      </c>
      <c r="O75" s="79">
        <f t="shared" si="23"/>
        <v>2.2</v>
      </c>
      <c r="P75" s="2">
        <f t="shared" si="19"/>
        <v>0.9599999999999865</v>
      </c>
      <c r="Q75" s="52">
        <v>103</v>
      </c>
      <c r="R75" s="53">
        <v>108.5</v>
      </c>
      <c r="S75" s="54">
        <v>0.5</v>
      </c>
      <c r="T75" s="58">
        <v>108.5</v>
      </c>
      <c r="U75" s="2">
        <f t="shared" si="24"/>
        <v>-1.3887999999999805</v>
      </c>
      <c r="V75" s="11">
        <f>IF(U75&gt;=0,MROUND(U75,0.25),IF(U75&lt;0,MROUND(U75,-0.25)))</f>
        <v>-1.5</v>
      </c>
      <c r="W75" s="61">
        <f t="shared" si="25"/>
        <v>1.276866359447018</v>
      </c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</row>
    <row r="76" spans="1:109" s="13" customFormat="1" ht="11.25" customHeight="1">
      <c r="A76" s="60" t="s">
        <v>93</v>
      </c>
      <c r="B76" s="6">
        <v>75</v>
      </c>
      <c r="C76" s="6">
        <f>_H7</f>
        <v>4.096</v>
      </c>
      <c r="D76" s="6">
        <f>'後部弦圧入力'!BX4</f>
        <v>2.07</v>
      </c>
      <c r="E76" s="6">
        <f>__H7</f>
        <v>4.096</v>
      </c>
      <c r="F76" s="6">
        <f>'前部弦圧入力'!BX4</f>
        <v>2.07</v>
      </c>
      <c r="G76" s="1">
        <f t="shared" si="20"/>
        <v>0.09167328633490071</v>
      </c>
      <c r="H76" s="1">
        <f t="shared" si="21"/>
        <v>0.09167328633490071</v>
      </c>
      <c r="I76" s="10">
        <v>75</v>
      </c>
      <c r="J76" s="1">
        <f t="shared" si="16"/>
        <v>0.12000000000000671</v>
      </c>
      <c r="K76" s="1">
        <f t="shared" si="17"/>
        <v>0.12000000000000671</v>
      </c>
      <c r="L76" s="1">
        <f t="shared" si="18"/>
        <v>0.24000000000001342</v>
      </c>
      <c r="M76" s="79">
        <f>'補正値の入力'!C$6</f>
        <v>1.2</v>
      </c>
      <c r="N76" s="79">
        <f t="shared" si="22"/>
        <v>1.2</v>
      </c>
      <c r="O76" s="79">
        <f t="shared" si="23"/>
        <v>2.2</v>
      </c>
      <c r="P76" s="2">
        <f t="shared" si="19"/>
        <v>0.9599999999999865</v>
      </c>
      <c r="Q76" s="52">
        <v>98</v>
      </c>
      <c r="R76" s="53">
        <v>102</v>
      </c>
      <c r="S76" s="54">
        <v>0.5</v>
      </c>
      <c r="T76" s="58">
        <v>102</v>
      </c>
      <c r="U76" s="2">
        <f t="shared" si="24"/>
        <v>-1.3055999999999817</v>
      </c>
      <c r="V76" s="11">
        <f>IF(U76&gt;=0,MROUND(U76,0.25),IF(U76&lt;0,MROUND(U76,-0.25)))</f>
        <v>-1.25</v>
      </c>
      <c r="W76" s="61">
        <f t="shared" si="25"/>
        <v>1.159117647058837</v>
      </c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</row>
    <row r="77" spans="1:109" s="13" customFormat="1" ht="11.25" customHeight="1">
      <c r="A77" s="60" t="s">
        <v>94</v>
      </c>
      <c r="B77" s="6">
        <v>76</v>
      </c>
      <c r="C77" s="6">
        <f>_C7</f>
        <v>4.096</v>
      </c>
      <c r="D77" s="6">
        <f>'後部弦圧入力'!BY4</f>
        <v>2.07</v>
      </c>
      <c r="E77" s="6">
        <f>__C7</f>
        <v>4.096</v>
      </c>
      <c r="F77" s="6">
        <f>'前部弦圧入力'!BY4</f>
        <v>2.07</v>
      </c>
      <c r="G77" s="1">
        <f t="shared" si="20"/>
        <v>0.09167328633490071</v>
      </c>
      <c r="H77" s="1">
        <f t="shared" si="21"/>
        <v>0.09167328633490071</v>
      </c>
      <c r="I77" s="10">
        <v>75</v>
      </c>
      <c r="J77" s="1">
        <f t="shared" si="16"/>
        <v>0.12000000000000671</v>
      </c>
      <c r="K77" s="1">
        <f t="shared" si="17"/>
        <v>0.12000000000000671</v>
      </c>
      <c r="L77" s="1">
        <f t="shared" si="18"/>
        <v>0.24000000000001342</v>
      </c>
      <c r="M77" s="79">
        <f>'補正値の入力'!C$6</f>
        <v>1.2</v>
      </c>
      <c r="N77" s="79">
        <f t="shared" si="22"/>
        <v>1.2</v>
      </c>
      <c r="O77" s="79">
        <f t="shared" si="23"/>
        <v>2.2</v>
      </c>
      <c r="P77" s="2">
        <f t="shared" si="19"/>
        <v>0.9599999999999865</v>
      </c>
      <c r="Q77" s="52">
        <v>93</v>
      </c>
      <c r="R77" s="53">
        <v>96</v>
      </c>
      <c r="S77" s="54">
        <v>0.5</v>
      </c>
      <c r="T77" s="58">
        <v>96</v>
      </c>
      <c r="U77" s="2">
        <f t="shared" si="24"/>
        <v>-1.2287999999999828</v>
      </c>
      <c r="V77" s="11">
        <f>IF(U77&gt;=0,MROUND(U77,0.25),IF(U77&lt;0,MROUND(U77,-0.25)))</f>
        <v>-1.25</v>
      </c>
      <c r="W77" s="61">
        <f t="shared" si="25"/>
        <v>1.2165625000000135</v>
      </c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</row>
    <row r="78" spans="1:109" s="13" customFormat="1" ht="11.25">
      <c r="A78" s="60" t="s">
        <v>95</v>
      </c>
      <c r="B78" s="6">
        <v>77</v>
      </c>
      <c r="C78" s="6">
        <f>_Cis7</f>
        <v>4.096</v>
      </c>
      <c r="D78" s="6">
        <f>'後部弦圧入力'!BZ4</f>
        <v>2.07</v>
      </c>
      <c r="E78" s="6">
        <f>__Cis7</f>
        <v>4.096</v>
      </c>
      <c r="F78" s="6">
        <f>'前部弦圧入力'!BZ4</f>
        <v>2.07</v>
      </c>
      <c r="G78" s="1">
        <f t="shared" si="20"/>
        <v>0.09167328633490071</v>
      </c>
      <c r="H78" s="1">
        <f t="shared" si="21"/>
        <v>0.09167328633490071</v>
      </c>
      <c r="I78" s="10">
        <v>75</v>
      </c>
      <c r="J78" s="1">
        <f t="shared" si="16"/>
        <v>0.12000000000000671</v>
      </c>
      <c r="K78" s="1">
        <f t="shared" si="17"/>
        <v>0.12000000000000671</v>
      </c>
      <c r="L78" s="1">
        <f t="shared" si="18"/>
        <v>0.24000000000001342</v>
      </c>
      <c r="M78" s="79">
        <f>'補正値の入力'!C$6</f>
        <v>1.2</v>
      </c>
      <c r="N78" s="79">
        <f t="shared" si="22"/>
        <v>1.2</v>
      </c>
      <c r="O78" s="79">
        <f t="shared" si="23"/>
        <v>2.2</v>
      </c>
      <c r="P78" s="2">
        <f t="shared" si="19"/>
        <v>0.9599999999999865</v>
      </c>
      <c r="Q78" s="52">
        <v>87</v>
      </c>
      <c r="R78" s="53">
        <v>91</v>
      </c>
      <c r="S78" s="54">
        <v>0.5</v>
      </c>
      <c r="T78" s="58">
        <v>91</v>
      </c>
      <c r="U78" s="2">
        <f t="shared" si="24"/>
        <v>-1.1647999999999836</v>
      </c>
      <c r="V78" s="11">
        <f>IF(U78&gt;=0,MROUND(U78,0.25),IF(U78&lt;0,MROUND(U78,-0.25)))</f>
        <v>-1.25</v>
      </c>
      <c r="W78" s="61">
        <f t="shared" si="25"/>
        <v>1.2702197802197936</v>
      </c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</row>
    <row r="79" spans="1:109" s="13" customFormat="1" ht="11.25" customHeight="1">
      <c r="A79" s="60" t="s">
        <v>96</v>
      </c>
      <c r="B79" s="6">
        <v>78</v>
      </c>
      <c r="C79" s="6">
        <f>_D7</f>
        <v>4.096</v>
      </c>
      <c r="D79" s="6">
        <f>'後部弦圧入力'!CA4</f>
        <v>2.07</v>
      </c>
      <c r="E79" s="6">
        <f>__D7</f>
        <v>4.096</v>
      </c>
      <c r="F79" s="6">
        <f>'前部弦圧入力'!CA4</f>
        <v>2.07</v>
      </c>
      <c r="G79" s="1">
        <f t="shared" si="20"/>
        <v>0.09167328633490071</v>
      </c>
      <c r="H79" s="1">
        <f t="shared" si="21"/>
        <v>0.09167328633490071</v>
      </c>
      <c r="I79" s="10">
        <v>75</v>
      </c>
      <c r="J79" s="1">
        <f t="shared" si="16"/>
        <v>0.12000000000000671</v>
      </c>
      <c r="K79" s="1">
        <f t="shared" si="17"/>
        <v>0.12000000000000671</v>
      </c>
      <c r="L79" s="1">
        <f t="shared" si="18"/>
        <v>0.24000000000001342</v>
      </c>
      <c r="M79" s="79">
        <f>'補正値の入力'!C$6</f>
        <v>1.2</v>
      </c>
      <c r="N79" s="79">
        <f t="shared" si="22"/>
        <v>1.2</v>
      </c>
      <c r="O79" s="79">
        <f t="shared" si="23"/>
        <v>2.2</v>
      </c>
      <c r="P79" s="2">
        <f t="shared" si="19"/>
        <v>0.9599999999999865</v>
      </c>
      <c r="Q79" s="52">
        <v>84</v>
      </c>
      <c r="R79" s="53">
        <v>85.5</v>
      </c>
      <c r="S79" s="54">
        <v>0.5</v>
      </c>
      <c r="T79" s="58">
        <v>85.5</v>
      </c>
      <c r="U79" s="2">
        <f t="shared" si="24"/>
        <v>-1.0943999999999847</v>
      </c>
      <c r="V79" s="11">
        <f>IF(U79&gt;=0,MROUND(U79,0.25),IF(U79&lt;0,MROUND(U79,-0.25)))</f>
        <v>-1</v>
      </c>
      <c r="W79" s="61">
        <f t="shared" si="25"/>
        <v>1.1171929824561537</v>
      </c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</row>
    <row r="80" spans="1:109" s="13" customFormat="1" ht="11.25" customHeight="1">
      <c r="A80" s="60" t="s">
        <v>97</v>
      </c>
      <c r="B80" s="6">
        <v>79</v>
      </c>
      <c r="C80" s="6">
        <f>_Es7</f>
        <v>4.096</v>
      </c>
      <c r="D80" s="6">
        <f>'後部弦圧入力'!CB4</f>
        <v>2.07</v>
      </c>
      <c r="E80" s="6">
        <f>__Es7</f>
        <v>4.096</v>
      </c>
      <c r="F80" s="6">
        <f>'前部弦圧入力'!CB4</f>
        <v>2.07</v>
      </c>
      <c r="G80" s="1">
        <f t="shared" si="20"/>
        <v>0.09167328633490071</v>
      </c>
      <c r="H80" s="1">
        <f t="shared" si="21"/>
        <v>0.09167328633490071</v>
      </c>
      <c r="I80" s="10">
        <v>75</v>
      </c>
      <c r="J80" s="1">
        <f t="shared" si="16"/>
        <v>0.12000000000000671</v>
      </c>
      <c r="K80" s="1">
        <f t="shared" si="17"/>
        <v>0.12000000000000671</v>
      </c>
      <c r="L80" s="1">
        <f t="shared" si="18"/>
        <v>0.24000000000001342</v>
      </c>
      <c r="M80" s="79">
        <f>'補正値の入力'!C$6</f>
        <v>1.2</v>
      </c>
      <c r="N80" s="79">
        <f t="shared" si="22"/>
        <v>1.2</v>
      </c>
      <c r="O80" s="79">
        <f t="shared" si="23"/>
        <v>2.2</v>
      </c>
      <c r="P80" s="2">
        <f t="shared" si="19"/>
        <v>0.9599999999999865</v>
      </c>
      <c r="Q80" s="52">
        <v>78</v>
      </c>
      <c r="R80" s="53">
        <v>80.5</v>
      </c>
      <c r="S80" s="54">
        <v>0.5</v>
      </c>
      <c r="T80" s="58">
        <v>80.5</v>
      </c>
      <c r="U80" s="2">
        <f t="shared" si="24"/>
        <v>-1.0303999999999855</v>
      </c>
      <c r="V80" s="11">
        <f>IF(U80&gt;=0,MROUND(U80,0.25),IF(U80&lt;0,MROUND(U80,-0.25)))</f>
        <v>-1</v>
      </c>
      <c r="W80" s="61">
        <f t="shared" si="25"/>
        <v>1.1716770186335537</v>
      </c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</row>
    <row r="81" spans="1:109" s="13" customFormat="1" ht="11.25">
      <c r="A81" s="60" t="s">
        <v>98</v>
      </c>
      <c r="B81" s="6">
        <v>80</v>
      </c>
      <c r="C81" s="6">
        <f>_E7</f>
        <v>4.096</v>
      </c>
      <c r="D81" s="6">
        <f>'後部弦圧入力'!CC4</f>
        <v>2.07</v>
      </c>
      <c r="E81" s="6">
        <f>__E7</f>
        <v>4.096</v>
      </c>
      <c r="F81" s="6">
        <f>'前部弦圧入力'!CC4</f>
        <v>2.07</v>
      </c>
      <c r="G81" s="1">
        <f t="shared" si="20"/>
        <v>0.09167328633490071</v>
      </c>
      <c r="H81" s="1">
        <f t="shared" si="21"/>
        <v>0.09167328633490071</v>
      </c>
      <c r="I81" s="10">
        <v>75</v>
      </c>
      <c r="J81" s="1">
        <f t="shared" si="16"/>
        <v>0.12000000000000671</v>
      </c>
      <c r="K81" s="1">
        <f t="shared" si="17"/>
        <v>0.12000000000000671</v>
      </c>
      <c r="L81" s="1">
        <f t="shared" si="18"/>
        <v>0.24000000000001342</v>
      </c>
      <c r="M81" s="79">
        <f>'補正値の入力'!C$6</f>
        <v>1.2</v>
      </c>
      <c r="N81" s="79">
        <f t="shared" si="22"/>
        <v>1.2</v>
      </c>
      <c r="O81" s="79">
        <f t="shared" si="23"/>
        <v>2.2</v>
      </c>
      <c r="P81" s="2">
        <f t="shared" si="19"/>
        <v>0.9599999999999865</v>
      </c>
      <c r="Q81" s="52">
        <v>74</v>
      </c>
      <c r="R81" s="53">
        <v>75</v>
      </c>
      <c r="S81" s="54">
        <v>0.5</v>
      </c>
      <c r="T81" s="58">
        <v>75</v>
      </c>
      <c r="U81" s="2">
        <f t="shared" si="24"/>
        <v>-0.9599999999999865</v>
      </c>
      <c r="V81" s="11">
        <f>IF(U81&gt;=0,MROUND(U81,0.25),IF(U81&lt;0,MROUND(U81,-0.25)))</f>
        <v>-1</v>
      </c>
      <c r="W81" s="61">
        <f t="shared" si="25"/>
        <v>1.2400000000000135</v>
      </c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</row>
    <row r="82" spans="1:109" s="13" customFormat="1" ht="11.25">
      <c r="A82" s="60" t="s">
        <v>99</v>
      </c>
      <c r="B82" s="6">
        <v>81</v>
      </c>
      <c r="C82" s="6">
        <f>_F7</f>
        <v>4.096</v>
      </c>
      <c r="D82" s="6">
        <f>'後部弦圧入力'!CD4</f>
        <v>2.07</v>
      </c>
      <c r="E82" s="6">
        <f>__F7</f>
        <v>4.096</v>
      </c>
      <c r="F82" s="6">
        <f>'前部弦圧入力'!CD4</f>
        <v>2.07</v>
      </c>
      <c r="G82" s="1">
        <f t="shared" si="20"/>
        <v>0.09167328633490071</v>
      </c>
      <c r="H82" s="1">
        <f t="shared" si="21"/>
        <v>0.09167328633490071</v>
      </c>
      <c r="I82" s="10">
        <v>75</v>
      </c>
      <c r="J82" s="1">
        <f t="shared" si="16"/>
        <v>0.12000000000000671</v>
      </c>
      <c r="K82" s="1">
        <f t="shared" si="17"/>
        <v>0.12000000000000671</v>
      </c>
      <c r="L82" s="1">
        <f t="shared" si="18"/>
        <v>0.24000000000001342</v>
      </c>
      <c r="M82" s="79">
        <f>'補正値の入力'!C$6</f>
        <v>1.2</v>
      </c>
      <c r="N82" s="79">
        <f t="shared" si="22"/>
        <v>1.2</v>
      </c>
      <c r="O82" s="79">
        <f t="shared" si="23"/>
        <v>2.2</v>
      </c>
      <c r="P82" s="2">
        <f t="shared" si="19"/>
        <v>0.9599999999999865</v>
      </c>
      <c r="Q82" s="52">
        <v>70</v>
      </c>
      <c r="R82" s="53">
        <v>72</v>
      </c>
      <c r="S82" s="54">
        <v>0.5</v>
      </c>
      <c r="T82" s="58">
        <v>72</v>
      </c>
      <c r="U82" s="2">
        <f t="shared" si="24"/>
        <v>-0.921599999999987</v>
      </c>
      <c r="V82" s="11">
        <f>IF(U82&gt;=0,MROUND(U82,0.25),IF(U82&lt;0,MROUND(U82,-0.25)))</f>
        <v>-1</v>
      </c>
      <c r="W82" s="61">
        <f t="shared" si="25"/>
        <v>1.28166666666668</v>
      </c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</row>
    <row r="83" spans="1:109" s="13" customFormat="1" ht="11.25" customHeight="1">
      <c r="A83" s="60" t="s">
        <v>100</v>
      </c>
      <c r="B83" s="6">
        <v>82</v>
      </c>
      <c r="C83" s="6">
        <f>_Fis7</f>
        <v>4.096</v>
      </c>
      <c r="D83" s="6">
        <f>'後部弦圧入力'!CE4</f>
        <v>2.07</v>
      </c>
      <c r="E83" s="6">
        <f>__Fis7</f>
        <v>4.096</v>
      </c>
      <c r="F83" s="6">
        <f>'前部弦圧入力'!CE4</f>
        <v>2.07</v>
      </c>
      <c r="G83" s="1">
        <f t="shared" si="20"/>
        <v>0.09167328633490071</v>
      </c>
      <c r="H83" s="1">
        <f t="shared" si="21"/>
        <v>0.09167328633490071</v>
      </c>
      <c r="I83" s="10">
        <v>75</v>
      </c>
      <c r="J83" s="1">
        <f t="shared" si="16"/>
        <v>0.12000000000000671</v>
      </c>
      <c r="K83" s="1">
        <f t="shared" si="17"/>
        <v>0.12000000000000671</v>
      </c>
      <c r="L83" s="1">
        <f t="shared" si="18"/>
        <v>0.24000000000001342</v>
      </c>
      <c r="M83" s="79">
        <f>'補正値の入力'!C$6</f>
        <v>1.2</v>
      </c>
      <c r="N83" s="79">
        <f t="shared" si="22"/>
        <v>1.2</v>
      </c>
      <c r="O83" s="79">
        <f t="shared" si="23"/>
        <v>2.2</v>
      </c>
      <c r="P83" s="2">
        <f t="shared" si="19"/>
        <v>0.9599999999999865</v>
      </c>
      <c r="Q83" s="52">
        <v>68</v>
      </c>
      <c r="R83" s="53">
        <v>68</v>
      </c>
      <c r="S83" s="54">
        <v>0.5</v>
      </c>
      <c r="T83" s="58">
        <v>68</v>
      </c>
      <c r="U83" s="2">
        <f t="shared" si="24"/>
        <v>-0.8703999999999877</v>
      </c>
      <c r="V83" s="11">
        <f>IF(U83&gt;=0,MROUND(U83,0.25),IF(U83&lt;0,MROUND(U83,-0.25)))</f>
        <v>-0.75</v>
      </c>
      <c r="W83" s="61">
        <f t="shared" si="25"/>
        <v>1.0672058823529547</v>
      </c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</row>
    <row r="84" spans="1:109" s="13" customFormat="1" ht="11.25" customHeight="1">
      <c r="A84" s="60" t="s">
        <v>101</v>
      </c>
      <c r="B84" s="6">
        <v>83</v>
      </c>
      <c r="C84" s="6">
        <f>_G7</f>
        <v>4.096</v>
      </c>
      <c r="D84" s="6">
        <f>'後部弦圧入力'!CF4</f>
        <v>2.07</v>
      </c>
      <c r="E84" s="6">
        <f>__G7</f>
        <v>4.096</v>
      </c>
      <c r="F84" s="6">
        <f>'前部弦圧入力'!CF4</f>
        <v>2.07</v>
      </c>
      <c r="G84" s="1">
        <f t="shared" si="20"/>
        <v>0.09167328633490071</v>
      </c>
      <c r="H84" s="1">
        <f t="shared" si="21"/>
        <v>0.09167328633490071</v>
      </c>
      <c r="I84" s="10">
        <v>75</v>
      </c>
      <c r="J84" s="1">
        <f t="shared" si="16"/>
        <v>0.12000000000000671</v>
      </c>
      <c r="K84" s="1">
        <f t="shared" si="17"/>
        <v>0.12000000000000671</v>
      </c>
      <c r="L84" s="1">
        <f t="shared" si="18"/>
        <v>0.24000000000001342</v>
      </c>
      <c r="M84" s="79">
        <f>'補正値の入力'!C$6</f>
        <v>1.2</v>
      </c>
      <c r="N84" s="79">
        <f t="shared" si="22"/>
        <v>1.2</v>
      </c>
      <c r="O84" s="79">
        <f t="shared" si="23"/>
        <v>2.2</v>
      </c>
      <c r="P84" s="2">
        <f t="shared" si="19"/>
        <v>0.9599999999999865</v>
      </c>
      <c r="Q84" s="52">
        <v>65</v>
      </c>
      <c r="R84" s="53">
        <v>64</v>
      </c>
      <c r="S84" s="54">
        <v>0.5</v>
      </c>
      <c r="T84" s="58">
        <v>64</v>
      </c>
      <c r="U84" s="2">
        <f t="shared" si="24"/>
        <v>-0.8191999999999885</v>
      </c>
      <c r="V84" s="11">
        <f>IF(U84&gt;=0,MROUND(U84,0.25),IF(U84&lt;0,MROUND(U84,-0.25)))</f>
        <v>-0.75</v>
      </c>
      <c r="W84" s="61">
        <f t="shared" si="25"/>
        <v>1.1189062500000135</v>
      </c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</row>
    <row r="85" spans="1:109" s="13" customFormat="1" ht="11.25">
      <c r="A85" s="60" t="s">
        <v>102</v>
      </c>
      <c r="B85" s="6">
        <v>84</v>
      </c>
      <c r="C85" s="6">
        <f>_Gis7</f>
        <v>4.096</v>
      </c>
      <c r="D85" s="6">
        <f>'後部弦圧入力'!CG4</f>
        <v>2.07</v>
      </c>
      <c r="E85" s="6">
        <f>__Gis7</f>
        <v>4.096</v>
      </c>
      <c r="F85" s="6">
        <f>'前部弦圧入力'!CG4</f>
        <v>2.07</v>
      </c>
      <c r="G85" s="1">
        <f t="shared" si="20"/>
        <v>0.09167328633490071</v>
      </c>
      <c r="H85" s="1">
        <f t="shared" si="21"/>
        <v>0.09167328633490071</v>
      </c>
      <c r="I85" s="10">
        <v>75</v>
      </c>
      <c r="J85" s="1">
        <f t="shared" si="16"/>
        <v>0.12000000000000671</v>
      </c>
      <c r="K85" s="1">
        <f t="shared" si="17"/>
        <v>0.12000000000000671</v>
      </c>
      <c r="L85" s="1">
        <f t="shared" si="18"/>
        <v>0.24000000000001342</v>
      </c>
      <c r="M85" s="79">
        <f>'補正値の入力'!C$6</f>
        <v>1.2</v>
      </c>
      <c r="N85" s="79">
        <f t="shared" si="22"/>
        <v>1.2</v>
      </c>
      <c r="O85" s="79">
        <f t="shared" si="23"/>
        <v>2.2</v>
      </c>
      <c r="P85" s="2">
        <f t="shared" si="19"/>
        <v>0.9599999999999865</v>
      </c>
      <c r="Q85" s="52">
        <v>62</v>
      </c>
      <c r="R85" s="53">
        <v>60</v>
      </c>
      <c r="S85" s="54">
        <v>0.5</v>
      </c>
      <c r="T85" s="58">
        <v>60</v>
      </c>
      <c r="U85" s="2">
        <f t="shared" si="24"/>
        <v>-0.7679999999999892</v>
      </c>
      <c r="V85" s="11">
        <f>IF(U85&gt;=0,MROUND(U85,0.25),IF(U85&lt;0,MROUND(U85,-0.25)))</f>
        <v>-0.75</v>
      </c>
      <c r="W85" s="61">
        <f t="shared" si="25"/>
        <v>1.1775000000000135</v>
      </c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</row>
    <row r="86" spans="1:109" s="13" customFormat="1" ht="11.25" customHeight="1">
      <c r="A86" s="60" t="s">
        <v>103</v>
      </c>
      <c r="B86" s="6">
        <v>85</v>
      </c>
      <c r="C86" s="6">
        <f>_A8</f>
        <v>4.096</v>
      </c>
      <c r="D86" s="6">
        <f>'後部弦圧入力'!CH4</f>
        <v>2.07</v>
      </c>
      <c r="E86" s="6">
        <f>__A8</f>
        <v>4.096</v>
      </c>
      <c r="F86" s="6">
        <f>'前部弦圧入力'!CH4</f>
        <v>2.07</v>
      </c>
      <c r="G86" s="1">
        <f t="shared" si="20"/>
        <v>0.09167328633490071</v>
      </c>
      <c r="H86" s="1">
        <f t="shared" si="21"/>
        <v>0.09167328633490071</v>
      </c>
      <c r="I86" s="10">
        <v>75</v>
      </c>
      <c r="J86" s="1">
        <f t="shared" si="16"/>
        <v>0.12000000000000671</v>
      </c>
      <c r="K86" s="1">
        <f t="shared" si="17"/>
        <v>0.12000000000000671</v>
      </c>
      <c r="L86" s="1">
        <f t="shared" si="18"/>
        <v>0.24000000000001342</v>
      </c>
      <c r="M86" s="79">
        <f>'補正値の入力'!C$6</f>
        <v>1.2</v>
      </c>
      <c r="N86" s="79">
        <f t="shared" si="22"/>
        <v>1.2</v>
      </c>
      <c r="O86" s="79">
        <f t="shared" si="23"/>
        <v>2.2</v>
      </c>
      <c r="P86" s="2">
        <f t="shared" si="19"/>
        <v>0.9599999999999865</v>
      </c>
      <c r="Q86" s="52">
        <v>58</v>
      </c>
      <c r="R86" s="53">
        <v>57</v>
      </c>
      <c r="S86" s="54">
        <v>0.5</v>
      </c>
      <c r="T86" s="58">
        <v>57</v>
      </c>
      <c r="U86" s="2">
        <f t="shared" si="24"/>
        <v>-0.7295999999999897</v>
      </c>
      <c r="V86" s="11">
        <f>IF(U86&gt;=0,MROUND(U86,0.25),IF(U86&lt;0,MROUND(U86,-0.25)))</f>
        <v>-0.75</v>
      </c>
      <c r="W86" s="61">
        <f t="shared" si="25"/>
        <v>1.2268421052631713</v>
      </c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</row>
    <row r="87" spans="1:109" s="13" customFormat="1" ht="11.25" customHeight="1">
      <c r="A87" s="60" t="s">
        <v>104</v>
      </c>
      <c r="B87" s="6">
        <v>86</v>
      </c>
      <c r="C87" s="6">
        <f>_B8</f>
        <v>4.096</v>
      </c>
      <c r="D87" s="6">
        <f>'後部弦圧入力'!CI4</f>
        <v>2.07</v>
      </c>
      <c r="E87" s="6">
        <f>__B8</f>
        <v>4.096</v>
      </c>
      <c r="F87" s="6">
        <f>'前部弦圧入力'!CI4</f>
        <v>2.07</v>
      </c>
      <c r="G87" s="1">
        <f t="shared" si="20"/>
        <v>0.09167328633490071</v>
      </c>
      <c r="H87" s="1">
        <f t="shared" si="21"/>
        <v>0.09167328633490071</v>
      </c>
      <c r="I87" s="10">
        <v>75</v>
      </c>
      <c r="J87" s="1">
        <f t="shared" si="16"/>
        <v>0.12000000000000671</v>
      </c>
      <c r="K87" s="1">
        <f t="shared" si="17"/>
        <v>0.12000000000000671</v>
      </c>
      <c r="L87" s="1">
        <f t="shared" si="18"/>
        <v>0.24000000000001342</v>
      </c>
      <c r="M87" s="79">
        <f>'補正値の入力'!C$6</f>
        <v>1.2</v>
      </c>
      <c r="N87" s="79">
        <f t="shared" si="22"/>
        <v>1.2</v>
      </c>
      <c r="O87" s="79">
        <f t="shared" si="23"/>
        <v>2.2</v>
      </c>
      <c r="P87" s="2">
        <f t="shared" si="19"/>
        <v>0.9599999999999865</v>
      </c>
      <c r="Q87" s="52">
        <v>56</v>
      </c>
      <c r="R87" s="53">
        <v>55</v>
      </c>
      <c r="S87" s="54">
        <v>0.5</v>
      </c>
      <c r="T87" s="58">
        <v>55</v>
      </c>
      <c r="U87" s="2">
        <f t="shared" si="24"/>
        <v>-0.7039999999999901</v>
      </c>
      <c r="V87" s="11">
        <f>IF(U87&gt;=0,MROUND(U87,0.25),IF(U87&lt;0,MROUND(U87,-0.25)))</f>
        <v>-0.75</v>
      </c>
      <c r="W87" s="61">
        <f t="shared" si="25"/>
        <v>1.262727272727286</v>
      </c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</row>
    <row r="88" spans="1:109" s="13" customFormat="1" ht="11.25">
      <c r="A88" s="60" t="s">
        <v>105</v>
      </c>
      <c r="B88" s="6">
        <v>87</v>
      </c>
      <c r="C88" s="6">
        <f>_H8</f>
        <v>4.096</v>
      </c>
      <c r="D88" s="6">
        <f>'後部弦圧入力'!CJ4</f>
        <v>2.07</v>
      </c>
      <c r="E88" s="6">
        <f>__H8</f>
        <v>4.096</v>
      </c>
      <c r="F88" s="6">
        <f>'前部弦圧入力'!CJ4</f>
        <v>2.07</v>
      </c>
      <c r="G88" s="1">
        <f t="shared" si="20"/>
        <v>0.09167328633490071</v>
      </c>
      <c r="H88" s="1">
        <f t="shared" si="21"/>
        <v>0.09167328633490071</v>
      </c>
      <c r="I88" s="10">
        <v>75</v>
      </c>
      <c r="J88" s="1">
        <f t="shared" si="16"/>
        <v>0.12000000000000671</v>
      </c>
      <c r="K88" s="1">
        <f t="shared" si="17"/>
        <v>0.12000000000000671</v>
      </c>
      <c r="L88" s="1">
        <f t="shared" si="18"/>
        <v>0.24000000000001342</v>
      </c>
      <c r="M88" s="79">
        <f>'補正値の入力'!C$6</f>
        <v>1.2</v>
      </c>
      <c r="N88" s="79">
        <f t="shared" si="22"/>
        <v>1.2</v>
      </c>
      <c r="O88" s="79">
        <f t="shared" si="23"/>
        <v>2.2</v>
      </c>
      <c r="P88" s="2">
        <f t="shared" si="19"/>
        <v>0.9599999999999865</v>
      </c>
      <c r="Q88" s="52">
        <v>53</v>
      </c>
      <c r="R88" s="53">
        <v>52</v>
      </c>
      <c r="S88" s="54">
        <v>0.5</v>
      </c>
      <c r="T88" s="58">
        <v>52</v>
      </c>
      <c r="U88" s="2">
        <f t="shared" si="24"/>
        <v>-0.6655999999999906</v>
      </c>
      <c r="V88" s="11">
        <f>IF(U88&gt;=0,MROUND(U88,0.25),IF(U88&lt;0,MROUND(U88,-0.25)))</f>
        <v>-0.75</v>
      </c>
      <c r="W88" s="61">
        <f t="shared" si="25"/>
        <v>1.3217307692307827</v>
      </c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</row>
    <row r="89" spans="1:109" s="13" customFormat="1" ht="12" customHeight="1" thickBot="1">
      <c r="A89" s="62" t="s">
        <v>106</v>
      </c>
      <c r="B89" s="63">
        <v>88</v>
      </c>
      <c r="C89" s="63">
        <f>_C8</f>
        <v>4.096</v>
      </c>
      <c r="D89" s="63">
        <f>'後部弦圧入力'!CK4</f>
        <v>2.07</v>
      </c>
      <c r="E89" s="63">
        <f>__C8</f>
        <v>4.096</v>
      </c>
      <c r="F89" s="63">
        <f>'前部弦圧入力'!CK4</f>
        <v>2.066</v>
      </c>
      <c r="G89" s="64">
        <f t="shared" si="20"/>
        <v>0.09167328633490071</v>
      </c>
      <c r="H89" s="64">
        <f t="shared" si="21"/>
        <v>0.18334680735466108</v>
      </c>
      <c r="I89" s="65">
        <v>75</v>
      </c>
      <c r="J89" s="64">
        <f t="shared" si="16"/>
        <v>0.12000000000000671</v>
      </c>
      <c r="K89" s="64">
        <f t="shared" si="17"/>
        <v>0.24000000000000682</v>
      </c>
      <c r="L89" s="64">
        <f t="shared" si="18"/>
        <v>0.36000000000001353</v>
      </c>
      <c r="M89" s="81">
        <f>'補正値の入力'!C$6</f>
        <v>1.2</v>
      </c>
      <c r="N89" s="81">
        <f t="shared" si="22"/>
        <v>1.2</v>
      </c>
      <c r="O89" s="81">
        <f t="shared" si="23"/>
        <v>2.2</v>
      </c>
      <c r="P89" s="66">
        <f t="shared" si="19"/>
        <v>0.8399999999999864</v>
      </c>
      <c r="Q89" s="55">
        <v>50</v>
      </c>
      <c r="R89" s="56">
        <v>50</v>
      </c>
      <c r="S89" s="57">
        <v>0.5</v>
      </c>
      <c r="T89" s="67">
        <v>50</v>
      </c>
      <c r="U89" s="66">
        <f t="shared" si="24"/>
        <v>-0.559999999999991</v>
      </c>
      <c r="V89" s="68">
        <f>IF(U89&gt;=0,MROUND(U89,0.25),IF(U89&lt;0,MROUND(U89,-0.25)))</f>
        <v>-0.5</v>
      </c>
      <c r="W89" s="69">
        <f t="shared" si="25"/>
        <v>1.1100000000000136</v>
      </c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</row>
    <row r="90" spans="5:15" ht="11.25">
      <c r="E90" s="44"/>
      <c r="F90" s="45"/>
      <c r="G90" s="46"/>
      <c r="H90" s="46"/>
      <c r="N90" s="82"/>
      <c r="O90" s="82"/>
    </row>
    <row r="91" spans="5:15" ht="11.25">
      <c r="E91" s="44"/>
      <c r="F91" s="45"/>
      <c r="G91" s="46"/>
      <c r="H91" s="46"/>
      <c r="N91" s="82"/>
      <c r="O91" s="82"/>
    </row>
    <row r="92" spans="5:15" ht="11.25">
      <c r="E92" s="44"/>
      <c r="F92" s="44"/>
      <c r="G92" s="46"/>
      <c r="H92" s="46"/>
      <c r="N92" s="82"/>
      <c r="O92" s="82"/>
    </row>
    <row r="93" spans="5:15" ht="11.25">
      <c r="E93" s="44"/>
      <c r="F93" s="44"/>
      <c r="G93" s="46"/>
      <c r="H93" s="46"/>
      <c r="N93" s="82"/>
      <c r="O93" s="82"/>
    </row>
    <row r="94" spans="5:15" ht="11.25">
      <c r="E94" s="44"/>
      <c r="F94" s="44"/>
      <c r="G94" s="46"/>
      <c r="H94" s="46"/>
      <c r="N94" s="82"/>
      <c r="O94" s="82"/>
    </row>
    <row r="95" spans="14:15" ht="11.25">
      <c r="N95" s="82"/>
      <c r="O95" s="82"/>
    </row>
    <row r="96" spans="14:15" ht="11.25">
      <c r="N96" s="82"/>
      <c r="O96" s="82"/>
    </row>
    <row r="97" spans="14:15" ht="11.25">
      <c r="N97" s="82"/>
      <c r="O97" s="82"/>
    </row>
    <row r="98" spans="14:15" ht="11.25">
      <c r="N98" s="82"/>
      <c r="O98" s="82"/>
    </row>
    <row r="99" spans="14:15" ht="11.25">
      <c r="N99" s="82"/>
      <c r="O99" s="82"/>
    </row>
    <row r="100" spans="14:15" ht="11.25">
      <c r="N100" s="82"/>
      <c r="O100" s="82"/>
    </row>
    <row r="101" spans="14:15" ht="11.25">
      <c r="N101" s="82"/>
      <c r="O101" s="82"/>
    </row>
    <row r="102" spans="14:15" ht="11.25">
      <c r="N102" s="82"/>
      <c r="O102" s="82"/>
    </row>
  </sheetData>
  <mergeCells count="2">
    <mergeCell ref="C1:D1"/>
    <mergeCell ref="E1:F1"/>
  </mergeCells>
  <printOptions gridLines="1"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togasaki</cp:lastModifiedBy>
  <dcterms:created xsi:type="dcterms:W3CDTF">2007-01-07T04:11:33Z</dcterms:created>
  <dcterms:modified xsi:type="dcterms:W3CDTF">2007-12-14T13:03:18Z</dcterms:modified>
  <cp:category/>
  <cp:version/>
  <cp:contentType/>
  <cp:contentStatus/>
</cp:coreProperties>
</file>